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4.xml" ContentType="application/vnd.openxmlformats-officedocument.customXmlProperties+xml"/>
  <Override PartName="/customXml/itemProps2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5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Props6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6.xml.rels" ContentType="application/vnd.openxmlformats-package.relationships+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xl/_rels/workbook.xml.rels" ContentType="application/vnd.openxmlformats-package.relationships+xml"/>
  <Override PartName="/customXml/itemProps9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Florianópolis" sheetId="4" state="visible" r:id="rId6"/>
    <sheet name="Desl. Base Florianópolis" sheetId="5" state="visible" r:id="rId7"/>
    <sheet name="Base Criciúma" sheetId="6" state="visible" r:id="rId8"/>
    <sheet name="Desl. Base Criciúma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5" name="_xlnm.Print_Area" vbProcedure="false">'Base Criciúma'!$B$2:$AW$27</definedName>
    <definedName function="false" hidden="false" localSheetId="3" name="_xlnm.Print_Area" vbProcedure="false">'Base Florianópolis'!$B$2:$AW$26</definedName>
    <definedName function="false" hidden="false" localSheetId="13" name="_xlnm.Print_Area" vbProcedure="false">BDI!$B$1:$J$44</definedName>
    <definedName function="false" hidden="false" localSheetId="6" name="_xlnm.Print_Area" vbProcedure="false">'Desl. Base Criciúma'!$B$2:$M$62</definedName>
    <definedName function="false" hidden="false" localSheetId="4" name="_xlnm.Print_Area" vbProcedure="false">'Desl. Base Florianópolis'!$B$2:$M$35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Unidades!$B$2:$H$17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<sst xmlns="http://schemas.openxmlformats.org/spreadsheetml/2006/main" count="845" uniqueCount="336">
  <si>
    <t xml:space="preserve">ANEXO I – B16</t>
  </si>
  <si>
    <t xml:space="preserve">PLANILHA DETALHADA DE FORMAÇÃO DE PREÇO</t>
  </si>
  <si>
    <t xml:space="preserve">POLO V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</si>
  <si>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</si>
  <si>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</si>
  <si>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</si>
  <si>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</si>
  <si>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</si>
  <si>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</si>
  <si>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</si>
  <si>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V.</t>
  </si>
  <si>
    <t xml:space="preserve">Mês</t>
  </si>
  <si>
    <t xml:space="preserve">VALOR TOTAL DO ITEM 5: R$ 1.517.720,76 (Um milhão, quinhentos e dezessete mil, setecentos e vinte reais e setenta e seis centavos)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</si>
  <si>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</si>
  <si>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</si>
  <si>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</si>
  <si>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</si>
  <si>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</si>
  <si>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</si>
  <si>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</si>
  <si>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</si>
  <si>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FLORIANÓPOLIS</t>
  </si>
  <si>
    <t xml:space="preserve">CRICIÚMA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</si>
  <si>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</si>
  <si>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</si>
  <si>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</si>
  <si>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</si>
  <si>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</si>
  <si>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</si>
  <si>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</si>
  <si>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</si>
  <si>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</si>
  <si>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</si>
  <si>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</si>
  <si>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</si>
  <si>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</si>
  <si>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</si>
  <si>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</si>
  <si>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</si>
  <si>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</si>
  <si>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</si>
  <si>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</si>
  <si>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</si>
  <si>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</si>
  <si>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</si>
  <si>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</si>
  <si>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</si>
  <si>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</si>
  <si>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</si>
  <si>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</si>
  <si>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</si>
  <si>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</si>
  <si>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</si>
  <si>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</si>
  <si>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</si>
  <si>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</si>
  <si>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</si>
  <si>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</si>
  <si>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</si>
  <si>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</si>
  <si>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</si>
  <si>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</si>
  <si>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</si>
  <si>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</si>
  <si>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</si>
  <si>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</si>
  <si>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</si>
  <si>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</si>
  <si>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</si>
  <si>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</si>
  <si>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</si>
  <si>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</si>
  <si>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</si>
  <si>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</si>
  <si>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</si>
  <si>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</si>
  <si>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</si>
  <si>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</si>
  <si>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</si>
  <si>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</si>
  <si>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</si>
  <si>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ALFREDO WAGNER</t>
  </si>
  <si>
    <t xml:space="preserve">Custo por tipo de rotina</t>
  </si>
  <si>
    <t xml:space="preserve">APS BI – FLORIANÓPOLIS</t>
  </si>
  <si>
    <t xml:space="preserve">Custo Anual por tipo de rotina</t>
  </si>
  <si>
    <t xml:space="preserve">APS BIGUAÇU</t>
  </si>
  <si>
    <t xml:space="preserve">APS CURITIBANOS</t>
  </si>
  <si>
    <t xml:space="preserve">DEPÓSITO FLORIANÓPOLIS - CONTINENTE</t>
  </si>
  <si>
    <t xml:space="preserve">Custo Anual Preventiva</t>
  </si>
  <si>
    <t xml:space="preserve">APS ITAPEMA</t>
  </si>
  <si>
    <t xml:space="preserve">APS LAGES</t>
  </si>
  <si>
    <t xml:space="preserve">Custo Anual Corretiva</t>
  </si>
  <si>
    <t xml:space="preserve">APS PALHOÇA</t>
  </si>
  <si>
    <t xml:space="preserve">Custo Médio Mensal Manutenção</t>
  </si>
  <si>
    <t xml:space="preserve">APS SÃO JOSÉ</t>
  </si>
  <si>
    <t xml:space="preserve">Custo Anual Manutenção</t>
  </si>
  <si>
    <t xml:space="preserve">APS TIJUCAS</t>
  </si>
  <si>
    <t xml:space="preserve">CEDOC PALHOÇA</t>
  </si>
  <si>
    <t xml:space="preserve">GALPÕES AV. MAURO RAMOS</t>
  </si>
  <si>
    <t xml:space="preserve">GEX/APS FLORIANÓPOLIS</t>
  </si>
  <si>
    <t xml:space="preserve">SALAS EMEDAUX</t>
  </si>
  <si>
    <t xml:space="preserve">SEDE DA SUPERINTENDÊNCIA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</si>
  <si>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</si>
  <si>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</si>
  <si>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</si>
  <si>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</si>
  <si>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* Tabela SINAPI Outubro2023 (Não Desonerado)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</si>
  <si>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</si>
  <si>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</si>
  <si>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</si>
  <si>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</si>
  <si>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</si>
  <si>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</si>
  <si>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</si>
  <si>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</si>
  <si>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</si>
  <si>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</si>
  <si>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</si>
  <si>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</si>
  <si>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</si>
  <si>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</si>
  <si>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</si>
  <si>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</si>
  <si>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</si>
  <si>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</si>
  <si>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</si>
  <si>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</si>
  <si>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</si>
  <si>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</si>
  <si>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</si>
  <si>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</si>
  <si>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</si>
  <si>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</si>
  <si>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</si>
  <si>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</si>
  <si>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</si>
  <si>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20/10/2023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</si>
  <si>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</si>
  <si>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</si>
  <si>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</si>
  <si>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</si>
  <si>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</si>
  <si>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APS ARARANGUÁ</t>
  </si>
  <si>
    <t xml:space="preserve">APS BRAÇO DO NORTE</t>
  </si>
  <si>
    <t xml:space="preserve">APS CAPIVARI DE BAIXO</t>
  </si>
  <si>
    <t xml:space="preserve">APS FORQUILHINHA</t>
  </si>
  <si>
    <t xml:space="preserve">APS IÇARA</t>
  </si>
  <si>
    <t xml:space="preserve">APS LAGUNA</t>
  </si>
  <si>
    <t xml:space="preserve">APS SOMBRIO</t>
  </si>
  <si>
    <t xml:space="preserve">APS TUBARÃO</t>
  </si>
  <si>
    <t xml:space="preserve">APS URUSSANGA</t>
  </si>
  <si>
    <t xml:space="preserve">CEDOCPREV CRICIÚMA</t>
  </si>
  <si>
    <t xml:space="preserve">GEX/APS CRICIÚMA</t>
  </si>
  <si>
    <t xml:space="preserve">APS IMBITUBA</t>
  </si>
  <si>
    <t xml:space="preserve">APS SÃO JOAQUIM</t>
  </si>
  <si>
    <t xml:space="preserve">Pedágio (ida e volta)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</si>
  <si>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</si>
  <si>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</si>
  <si>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</si>
  <si>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</si>
  <si>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</si>
  <si>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</si>
  <si>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10/2023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</si>
  <si>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</si>
  <si>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</si>
  <si>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</si>
  <si>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</si>
  <si>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</si>
  <si>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</si>
  <si>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Valor Unitário Não Desonerado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</si>
  <si>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</si>
  <si>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</si>
  <si>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</si>
  <si>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</si>
  <si>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</si>
  <si>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</si>
  <si>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</si>
  <si>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</si>
  <si>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</si>
  <si>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</si>
  <si>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</si>
  <si>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</si>
  <si>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</si>
  <si>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</si>
  <si>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</si>
  <si>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</si>
  <si>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</si>
  <si>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</si>
  <si>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</si>
  <si>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</si>
  <si>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</si>
  <si>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</si>
  <si>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</si>
  <si>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</si>
  <si>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</si>
  <si>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</si>
  <si>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</si>
  <si>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</si>
  <si>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</si>
  <si>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</si>
  <si>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</si>
  <si>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</si>
  <si>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</si>
  <si>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</si>
  <si>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</si>
  <si>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</si>
  <si>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</si>
  <si>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</si>
  <si>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</si>
  <si>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</si>
  <si>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</si>
  <si>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</si>
  <si>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</si>
  <si>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</si>
  <si>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</si>
  <si>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</si>
  <si>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</si>
  <si>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</si>
  <si>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</si>
  <si>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</si>
  <si>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</si>
  <si>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</si>
  <si>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</si>
  <si>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</si>
  <si>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</si>
  <si>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</si>
  <si>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</si>
  <si>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</si>
  <si>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</si>
  <si>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</si>
  <si>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SC001231/2023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</si>
  <si>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</si>
  <si>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</si>
  <si>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</si>
  <si>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</si>
  <si>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</si>
  <si>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</si>
  <si>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</si>
  <si>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</si>
  <si>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</si>
  <si>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</si>
  <si>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</si>
  <si>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</si>
  <si>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</si>
  <si>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</si>
  <si>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</si>
  <si>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</si>
  <si>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</si>
  <si>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</si>
  <si>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</si>
  <si>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</si>
  <si>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</si>
  <si>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</si>
  <si>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</si>
  <si>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</si>
  <si>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</si>
  <si>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</si>
  <si>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</si>
  <si>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</si>
  <si>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</si>
  <si>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</si>
  <si>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</si>
  <si>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</si>
  <si>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</si>
  <si>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</si>
  <si>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</si>
  <si>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</si>
  <si>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</si>
  <si>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Rua Major Pedro Borges, 103, Centro</t>
  </si>
  <si>
    <t xml:space="preserve">NÃO</t>
  </si>
  <si>
    <t xml:space="preserve">Rua Álvaro de Carvalho, 92, Centro, Florianópolis</t>
  </si>
  <si>
    <t xml:space="preserve">SIM</t>
  </si>
  <si>
    <t xml:space="preserve">Rua Getúlio Vargas, 70, Centro</t>
  </si>
  <si>
    <t xml:space="preserve">Rua Maximino de Moraes, 357, Centro</t>
  </si>
  <si>
    <t xml:space="preserve">Av. Ivo Silveira, 1960, Capoeiras</t>
  </si>
  <si>
    <t xml:space="preserve">Rua Cento e Vinte e Um, 92, Centro</t>
  </si>
  <si>
    <t xml:space="preserve">Rua Governador Jorge Lacerda, 126, Centro</t>
  </si>
  <si>
    <t xml:space="preserve">Av. Barão do Rio Branco, 277, Centro</t>
  </si>
  <si>
    <t xml:space="preserve">Rua Ademar da Silva, 1279 Kobrasol</t>
  </si>
  <si>
    <t xml:space="preserve">Rua Atílio Campos Filho, S/N, Centro</t>
  </si>
  <si>
    <t xml:space="preserve">Av. Nelson Martins, 405, Centro</t>
  </si>
  <si>
    <t xml:space="preserve">Av. Mauro Ramos, 1880, Centro, Florianópolis</t>
  </si>
  <si>
    <t xml:space="preserve">Rua Felipe Schmidt, 331, Centro</t>
  </si>
  <si>
    <t xml:space="preserve">Rua Santos Dumont, 64, Centro, Florianópolis</t>
  </si>
  <si>
    <t xml:space="preserve">Praça Pereira Oliveira, 13, Centro, Florianópolis</t>
  </si>
  <si>
    <t xml:space="preserve">Rua Caetano Lummertz, 722, Centro</t>
  </si>
  <si>
    <t xml:space="preserve">Av. Felipe Schimidt, 1001, Centro</t>
  </si>
  <si>
    <t xml:space="preserve">Av. Ernani Cotrin, 225, Centro</t>
  </si>
  <si>
    <t xml:space="preserve">Av. Professor Eurico Back, S/N, Centro</t>
  </si>
  <si>
    <t xml:space="preserve">Travessa Padre Boleslau, 400, Centro</t>
  </si>
  <si>
    <t xml:space="preserve">Rua Raulino Horn, 140, Centro</t>
  </si>
  <si>
    <t xml:space="preserve">Rua Generino Teixeira da Rosa, 283, Raizera</t>
  </si>
  <si>
    <t xml:space="preserve">Rua São Manoel, 40, Centro</t>
  </si>
  <si>
    <t xml:space="preserve">Rua Barão do Rio Branco, 88, Centro</t>
  </si>
  <si>
    <t xml:space="preserve">Rua Leonardo Bialek, 995, Centro</t>
  </si>
  <si>
    <t xml:space="preserve">Rua São José, 170, Centro</t>
  </si>
  <si>
    <t xml:space="preserve">Av. Santa Catarina, 952, Centro</t>
  </si>
  <si>
    <t xml:space="preserve">Rua Domingos Martorano, 350, Centro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</si>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</sst>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\ ;[RED]\(#,##0.00\)"/>
    <numFmt numFmtId="173" formatCode="0.00%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&quot;R$ &quot;#,##0.00"/>
    <numFmt numFmtId="180" formatCode="d/m/yyyy"/>
    <numFmt numFmtId="181" formatCode="&quot;R$ &quot;#,##0.00;[RED]&quot;-R$ &quot;#,##0.00"/>
  </numFmts>
  <fonts count="29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theme="1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9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6" tint="0.5999"/>
        <bgColor rgb="FFDCDADA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BDBDB"/>
      </patternFill>
    </fill>
    <fill>
      <patternFill patternType="solid">
        <fgColor theme="6" tint="0.3999"/>
        <bgColor rgb="FFD9D9D9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5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4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2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3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2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5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9" fontId="23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7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3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3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1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1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2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11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9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8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7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45720</xdr:colOff>
      <xdr:row>1</xdr:row>
      <xdr:rowOff>1175400</xdr:rowOff>
    </xdr:to>
    <xdr:sp>
      <xdr:nvSpPr>
        <xdr:cNvPr id="0" name="CustomShape 1"/>
        <xdr:cNvSpPr/>
      </xdr:nvSpPr>
      <xdr:spPr>
        <a:xfrm>
          <a:off x="2441160" y="288360"/>
          <a:ext cx="2639520" cy="10774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2266920</xdr:colOff>
      <xdr:row>1</xdr:row>
      <xdr:rowOff>169560</xdr:rowOff>
    </xdr:from>
    <xdr:to>
      <xdr:col>5</xdr:col>
      <xdr:colOff>122760</xdr:colOff>
      <xdr:row>1</xdr:row>
      <xdr:rowOff>1108440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3128760" y="360000"/>
          <a:ext cx="2028960" cy="938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2758680</xdr:colOff>
      <xdr:row>29</xdr:row>
      <xdr:rowOff>55440</xdr:rowOff>
    </xdr:to>
    <xdr:pic>
      <xdr:nvPicPr>
        <xdr:cNvPr id="2" name="Figura 2" descr=""/>
        <xdr:cNvPicPr/>
      </xdr:nvPicPr>
      <xdr:blipFill>
        <a:blip r:embed="rId1"/>
        <a:srcRect l="17758" t="51097" r="20982" b="38299"/>
        <a:stretch/>
      </xdr:blipFill>
      <xdr:spPr>
        <a:xfrm>
          <a:off x="578160" y="5822640"/>
          <a:ext cx="6276960" cy="615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162360</xdr:colOff>
      <xdr:row>21</xdr:row>
      <xdr:rowOff>527400</xdr:rowOff>
    </xdr:to>
    <xdr:pic>
      <xdr:nvPicPr>
        <xdr:cNvPr id="3" name="Figura 3" descr=""/>
        <xdr:cNvPicPr/>
      </xdr:nvPicPr>
      <xdr:blipFill>
        <a:blip r:embed="rId2"/>
        <a:srcRect l="6614" t="69087" r="12466" b="20121"/>
        <a:stretch/>
      </xdr:blipFill>
      <xdr:spPr>
        <a:xfrm>
          <a:off x="442440" y="3898080"/>
          <a:ext cx="6692400" cy="4964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G11" activeCellId="0" sqref="G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5</v>
      </c>
      <c r="C11" s="11" t="s">
        <v>10</v>
      </c>
      <c r="D11" s="12" t="s">
        <v>11</v>
      </c>
      <c r="E11" s="12" t="n">
        <v>12</v>
      </c>
      <c r="F11" s="13" t="n">
        <f aca="false">ROUND(Resumo!D7+Resumo!F7,2)</f>
        <v>126476.73</v>
      </c>
      <c r="G11" s="14" t="n">
        <f aca="false">F11*12</f>
        <v>1517720.76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D11" activeCellId="0" sqref="D11"/>
    </sheetView>
  </sheetViews>
  <sheetFormatPr defaultColWidth="8.453125" defaultRowHeight="12.75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2.99"/>
    <col collapsed="false" customWidth="true" hidden="false" outlineLevel="0" max="3" min="3" style="1" width="12.21"/>
    <col collapsed="false" customWidth="true" hidden="false" outlineLevel="0" max="4" min="4" style="1" width="60.05"/>
    <col collapsed="false" customWidth="true" hidden="false" outlineLevel="0" max="5" min="5" style="1" width="30.01"/>
    <col collapsed="false" customWidth="true" hidden="false" outlineLevel="0" max="6" min="6" style="1" width="10.01"/>
    <col collapsed="false" customWidth="true" hidden="false" outlineLevel="0" max="7" min="7" style="1" width="13.78"/>
    <col collapsed="false" customWidth="true" hidden="false" outlineLevel="0" max="8" min="8" style="1" width="11.96"/>
    <col collapsed="false" customWidth="true" hidden="false" outlineLevel="0" max="9" min="9" style="1" width="14.03"/>
    <col collapsed="false" customWidth="true" hidden="false" outlineLevel="0" max="1026" min="10" style="1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6" t="s">
        <v>202</v>
      </c>
      <c r="C2" s="176"/>
      <c r="D2" s="176"/>
      <c r="E2" s="176"/>
      <c r="F2" s="176"/>
      <c r="G2" s="176"/>
      <c r="H2" s="176"/>
      <c r="I2" s="176"/>
    </row>
    <row r="3" customFormat="false" ht="19.5" hidden="false" customHeight="true" outlineLevel="0" collapsed="false"/>
    <row r="4" customFormat="false" ht="16.5" hidden="false" customHeight="true" outlineLevel="0" collapsed="false">
      <c r="B4" s="177" t="s">
        <v>203</v>
      </c>
      <c r="C4" s="177"/>
      <c r="D4" s="177"/>
      <c r="E4" s="177"/>
      <c r="F4" s="177"/>
      <c r="G4" s="177"/>
      <c r="H4" s="177"/>
      <c r="I4" s="177"/>
    </row>
    <row r="5" customFormat="false" ht="16.5" hidden="false" customHeight="true" outlineLevel="0" collapsed="false">
      <c r="B5" s="205" t="s">
        <v>158</v>
      </c>
      <c r="C5" s="205"/>
      <c r="D5" s="206" t="n">
        <v>91677</v>
      </c>
      <c r="E5" s="206"/>
      <c r="F5" s="206"/>
      <c r="G5" s="206"/>
      <c r="H5" s="206"/>
      <c r="I5" s="206"/>
    </row>
    <row r="6" customFormat="false" ht="16.5" hidden="false" customHeight="true" outlineLevel="0" collapsed="false">
      <c r="B6" s="205" t="s">
        <v>125</v>
      </c>
      <c r="C6" s="205"/>
      <c r="D6" s="206" t="s">
        <v>204</v>
      </c>
      <c r="E6" s="206"/>
      <c r="F6" s="206"/>
      <c r="G6" s="206"/>
      <c r="H6" s="206"/>
      <c r="I6" s="206"/>
    </row>
    <row r="7" customFormat="false" ht="16.5" hidden="false" customHeight="true" outlineLevel="0" collapsed="false">
      <c r="B7" s="205" t="s">
        <v>161</v>
      </c>
      <c r="C7" s="205"/>
      <c r="D7" s="207" t="s">
        <v>162</v>
      </c>
      <c r="E7" s="207"/>
      <c r="F7" s="207"/>
      <c r="G7" s="207"/>
      <c r="H7" s="207"/>
      <c r="I7" s="207"/>
    </row>
    <row r="8" customFormat="false" ht="16.5" hidden="false" customHeight="true" outlineLevel="0" collapsed="false">
      <c r="B8" s="205" t="s">
        <v>163</v>
      </c>
      <c r="C8" s="205"/>
      <c r="D8" s="206" t="s">
        <v>187</v>
      </c>
      <c r="E8" s="206"/>
      <c r="F8" s="206"/>
      <c r="G8" s="206"/>
      <c r="H8" s="206"/>
      <c r="I8" s="206"/>
    </row>
    <row r="9" customFormat="false" ht="16.5" hidden="false" customHeight="true" outlineLevel="0" collapsed="false">
      <c r="B9" s="205" t="s">
        <v>165</v>
      </c>
      <c r="C9" s="205"/>
      <c r="D9" s="206" t="s">
        <v>205</v>
      </c>
      <c r="E9" s="206"/>
      <c r="F9" s="206"/>
      <c r="G9" s="206"/>
      <c r="H9" s="206"/>
      <c r="I9" s="206"/>
    </row>
    <row r="10" customFormat="false" ht="16.5" hidden="false" customHeight="true" outlineLevel="0" collapsed="false">
      <c r="B10" s="205" t="s">
        <v>126</v>
      </c>
      <c r="C10" s="205"/>
      <c r="D10" s="206" t="s">
        <v>174</v>
      </c>
      <c r="E10" s="206"/>
      <c r="F10" s="206"/>
      <c r="G10" s="206"/>
      <c r="H10" s="206"/>
      <c r="I10" s="206"/>
    </row>
    <row r="11" customFormat="false" ht="23.25" hidden="false" customHeight="true" outlineLevel="0" collapsed="false">
      <c r="B11" s="178" t="s">
        <v>167</v>
      </c>
      <c r="C11" s="178"/>
      <c r="D11" s="208" t="n">
        <f aca="false">SUM(I14:I19)</f>
        <v>126.971875</v>
      </c>
      <c r="E11" s="208"/>
      <c r="F11" s="208"/>
      <c r="G11" s="208"/>
      <c r="H11" s="208"/>
      <c r="I11" s="208"/>
    </row>
    <row r="12" customFormat="false" ht="15.75" hidden="false" customHeight="true" outlineLevel="0" collapsed="false">
      <c r="B12" s="182"/>
      <c r="C12" s="182"/>
      <c r="D12" s="183"/>
      <c r="E12" s="183"/>
      <c r="F12" s="183"/>
      <c r="G12" s="183"/>
      <c r="H12" s="183"/>
      <c r="I12" s="183"/>
    </row>
    <row r="13" customFormat="false" ht="45" hidden="false" customHeight="false" outlineLevel="0" collapsed="false">
      <c r="B13" s="184"/>
      <c r="C13" s="184" t="s">
        <v>168</v>
      </c>
      <c r="D13" s="184" t="s">
        <v>125</v>
      </c>
      <c r="E13" s="184" t="s">
        <v>165</v>
      </c>
      <c r="F13" s="184" t="s">
        <v>126</v>
      </c>
      <c r="G13" s="184" t="s">
        <v>169</v>
      </c>
      <c r="H13" s="184" t="s">
        <v>170</v>
      </c>
      <c r="I13" s="184" t="s">
        <v>167</v>
      </c>
    </row>
    <row r="14" customFormat="false" ht="19.5" hidden="false" customHeight="true" outlineLevel="0" collapsed="false">
      <c r="B14" s="185" t="s">
        <v>206</v>
      </c>
      <c r="C14" s="185" t="s">
        <v>207</v>
      </c>
      <c r="D14" s="185" t="s">
        <v>208</v>
      </c>
      <c r="E14" s="185" t="s">
        <v>209</v>
      </c>
      <c r="F14" s="185" t="s">
        <v>174</v>
      </c>
      <c r="G14" s="187" t="n">
        <v>3.84</v>
      </c>
      <c r="H14" s="187" t="n">
        <v>1</v>
      </c>
      <c r="I14" s="209" t="n">
        <f aca="false">G14*H14</f>
        <v>3.84</v>
      </c>
      <c r="J14" s="210"/>
      <c r="K14" s="210"/>
    </row>
    <row r="15" customFormat="false" ht="19.5" hidden="false" customHeight="true" outlineLevel="0" collapsed="false">
      <c r="B15" s="185" t="s">
        <v>206</v>
      </c>
      <c r="C15" s="185" t="s">
        <v>210</v>
      </c>
      <c r="D15" s="185" t="s">
        <v>189</v>
      </c>
      <c r="E15" s="185" t="s">
        <v>211</v>
      </c>
      <c r="F15" s="185" t="s">
        <v>174</v>
      </c>
      <c r="G15" s="187" t="n">
        <f aca="false">'Custo Eng. Eletricista'!C14</f>
        <v>121.201875</v>
      </c>
      <c r="H15" s="187" t="n">
        <v>1</v>
      </c>
      <c r="I15" s="209" t="n">
        <f aca="false">G15*H15</f>
        <v>121.201875</v>
      </c>
      <c r="J15" s="210"/>
      <c r="K15" s="210"/>
    </row>
    <row r="16" customFormat="false" ht="30" hidden="false" customHeight="true" outlineLevel="0" collapsed="false">
      <c r="B16" s="185" t="s">
        <v>206</v>
      </c>
      <c r="C16" s="185" t="s">
        <v>212</v>
      </c>
      <c r="D16" s="185" t="s">
        <v>213</v>
      </c>
      <c r="E16" s="185" t="s">
        <v>214</v>
      </c>
      <c r="F16" s="185" t="s">
        <v>174</v>
      </c>
      <c r="G16" s="187" t="s">
        <v>215</v>
      </c>
      <c r="H16" s="187" t="n">
        <v>1</v>
      </c>
      <c r="I16" s="209" t="n">
        <f aca="false">G16*H16</f>
        <v>1.14</v>
      </c>
      <c r="J16" s="210"/>
      <c r="K16" s="210"/>
    </row>
    <row r="17" customFormat="false" ht="30" hidden="false" customHeight="true" outlineLevel="0" collapsed="false">
      <c r="B17" s="185" t="s">
        <v>206</v>
      </c>
      <c r="C17" s="185" t="s">
        <v>216</v>
      </c>
      <c r="D17" s="185" t="s">
        <v>217</v>
      </c>
      <c r="E17" s="185" t="s">
        <v>218</v>
      </c>
      <c r="F17" s="185" t="s">
        <v>174</v>
      </c>
      <c r="G17" s="187" t="s">
        <v>219</v>
      </c>
      <c r="H17" s="187" t="n">
        <v>1</v>
      </c>
      <c r="I17" s="209" t="n">
        <f aca="false">G17*H17</f>
        <v>0.07</v>
      </c>
      <c r="J17" s="210"/>
      <c r="K17" s="210"/>
    </row>
    <row r="18" customFormat="false" ht="30" hidden="false" customHeight="true" outlineLevel="0" collapsed="false">
      <c r="B18" s="185" t="s">
        <v>206</v>
      </c>
      <c r="C18" s="185" t="s">
        <v>220</v>
      </c>
      <c r="D18" s="185" t="s">
        <v>221</v>
      </c>
      <c r="E18" s="185" t="s">
        <v>222</v>
      </c>
      <c r="F18" s="185" t="s">
        <v>174</v>
      </c>
      <c r="G18" s="187" t="s">
        <v>223</v>
      </c>
      <c r="H18" s="187" t="n">
        <v>1</v>
      </c>
      <c r="I18" s="209" t="n">
        <f aca="false">G18*H18</f>
        <v>0.01</v>
      </c>
      <c r="J18" s="210"/>
      <c r="K18" s="210"/>
    </row>
    <row r="19" customFormat="false" ht="30" hidden="false" customHeight="true" outlineLevel="0" collapsed="false">
      <c r="B19" s="185" t="s">
        <v>206</v>
      </c>
      <c r="C19" s="185" t="s">
        <v>224</v>
      </c>
      <c r="D19" s="185" t="s">
        <v>225</v>
      </c>
      <c r="E19" s="185" t="s">
        <v>222</v>
      </c>
      <c r="F19" s="185" t="s">
        <v>174</v>
      </c>
      <c r="G19" s="187" t="s">
        <v>226</v>
      </c>
      <c r="H19" s="187" t="n">
        <v>1</v>
      </c>
      <c r="I19" s="209" t="n">
        <f aca="false">G19*H19</f>
        <v>0.71</v>
      </c>
      <c r="J19" s="210"/>
      <c r="K19" s="210"/>
    </row>
    <row r="20" customFormat="false" ht="19.5" hidden="false" customHeight="tru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E18" activeCellId="0" sqref="E18"/>
    </sheetView>
  </sheetViews>
  <sheetFormatPr defaultColWidth="10.125" defaultRowHeight="12.75" zeroHeight="false" outlineLevelRow="0" outlineLevelCol="0"/>
  <cols>
    <col collapsed="false" customWidth="true" hidden="false" outlineLevel="0" max="1" min="1" style="189" width="5.62"/>
    <col collapsed="false" customWidth="true" hidden="false" outlineLevel="0" max="2" min="2" style="189" width="47.25"/>
    <col collapsed="false" customWidth="true" hidden="false" outlineLevel="0" max="3" min="3" style="189" width="37.12"/>
    <col collapsed="false" customWidth="true" hidden="false" outlineLevel="0" max="4" min="4" style="189" width="29.88"/>
    <col collapsed="false" customWidth="true" hidden="false" outlineLevel="0" max="5" min="5" style="189" width="14.25"/>
  </cols>
  <sheetData>
    <row r="1" customFormat="false" ht="15" hidden="false" customHeight="true" outlineLevel="0" collapsed="false"/>
    <row r="2" customFormat="false" ht="13" hidden="false" customHeight="false" outlineLevel="0" collapsed="false">
      <c r="C2" s="211" t="s">
        <v>187</v>
      </c>
    </row>
    <row r="3" customFormat="false" ht="12.8" hidden="false" customHeight="false" outlineLevel="0" collapsed="false">
      <c r="B3" s="191" t="s">
        <v>227</v>
      </c>
      <c r="C3" s="211" t="s">
        <v>228</v>
      </c>
    </row>
    <row r="4" customFormat="false" ht="12.8" hidden="false" customHeight="false" outlineLevel="0" collapsed="false">
      <c r="B4" s="191" t="s">
        <v>229</v>
      </c>
      <c r="C4" s="192" t="s">
        <v>230</v>
      </c>
    </row>
    <row r="5" customFormat="false" ht="12.8" hidden="false" customHeight="false" outlineLevel="0" collapsed="false">
      <c r="B5" s="191" t="s">
        <v>192</v>
      </c>
      <c r="C5" s="212" t="n">
        <v>45047</v>
      </c>
    </row>
    <row r="6" customFormat="false" ht="23.3" hidden="false" customHeight="false" outlineLevel="0" collapsed="false">
      <c r="B6" s="191" t="s">
        <v>231</v>
      </c>
      <c r="C6" s="192" t="s">
        <v>232</v>
      </c>
    </row>
    <row r="7" customFormat="false" ht="12.8" hidden="false" customHeight="false" outlineLevel="0" collapsed="false">
      <c r="B7" s="191" t="s">
        <v>233</v>
      </c>
      <c r="C7" s="213" t="n">
        <v>2760</v>
      </c>
    </row>
    <row r="8" customFormat="false" ht="12.75" hidden="false" customHeight="false" outlineLevel="0" collapsed="false">
      <c r="B8" s="214"/>
      <c r="C8" s="215"/>
    </row>
    <row r="9" customFormat="false" ht="23.3" hidden="false" customHeight="false" outlineLevel="0" collapsed="false">
      <c r="B9" s="216" t="s">
        <v>234</v>
      </c>
      <c r="C9" s="191"/>
    </row>
    <row r="10" customFormat="false" ht="12.8" hidden="false" customHeight="false" outlineLevel="0" collapsed="false">
      <c r="B10" s="191" t="s">
        <v>196</v>
      </c>
      <c r="C10" s="217" t="n">
        <v>0.8549</v>
      </c>
    </row>
    <row r="11" customFormat="false" ht="12.8" hidden="false" customHeight="false" outlineLevel="0" collapsed="false">
      <c r="B11" s="191" t="s">
        <v>235</v>
      </c>
      <c r="C11" s="217" t="n">
        <v>0.4784</v>
      </c>
    </row>
    <row r="12" customFormat="false" ht="12.8" hidden="false" customHeight="false" outlineLevel="0" collapsed="false">
      <c r="B12" s="191" t="s">
        <v>197</v>
      </c>
      <c r="C12" s="217" t="n">
        <v>1.1547</v>
      </c>
    </row>
    <row r="13" customFormat="false" ht="12.8" hidden="false" customHeight="false" outlineLevel="0" collapsed="false">
      <c r="B13" s="191" t="s">
        <v>236</v>
      </c>
      <c r="C13" s="217" t="n">
        <v>0.718</v>
      </c>
    </row>
    <row r="14" customFormat="false" ht="13.5" hidden="false" customHeight="true" outlineLevel="0" collapsed="false">
      <c r="B14" s="214"/>
      <c r="C14" s="214"/>
    </row>
    <row r="15" customFormat="false" ht="12.75" hidden="false" customHeight="false" outlineLevel="0" collapsed="false">
      <c r="B15" s="199" t="s">
        <v>237</v>
      </c>
      <c r="C15" s="200"/>
    </row>
    <row r="16" customFormat="false" ht="15.75" hidden="false" customHeight="false" outlineLevel="0" collapsed="false">
      <c r="B16" s="218" t="s">
        <v>238</v>
      </c>
      <c r="C16" s="200" t="n">
        <f aca="false">C7*(1+C11)</f>
        <v>4080.384</v>
      </c>
      <c r="D16" s="219"/>
      <c r="E16" s="219"/>
    </row>
    <row r="17" customFormat="false" ht="15.75" hidden="false" customHeight="false" outlineLevel="0" collapsed="false">
      <c r="B17" s="218" t="s">
        <v>239</v>
      </c>
      <c r="C17" s="200" t="n">
        <f aca="false">C7*(1+C13)</f>
        <v>4741.68</v>
      </c>
      <c r="D17" s="219"/>
      <c r="E17" s="219"/>
    </row>
    <row r="18" customFormat="false" ht="15.75" hidden="false" customHeight="false" outlineLevel="0" collapsed="false">
      <c r="B18" s="218" t="s">
        <v>240</v>
      </c>
      <c r="C18" s="220" t="n">
        <f aca="false">C16*(1+C10)/(220*(1+C11))</f>
        <v>23.2705636363636</v>
      </c>
      <c r="D18" s="221"/>
      <c r="E18" s="219"/>
    </row>
    <row r="19" customFormat="false" ht="15.75" hidden="false" customHeight="false" outlineLevel="0" collapsed="false">
      <c r="B19" s="218" t="s">
        <v>241</v>
      </c>
      <c r="C19" s="220" t="n">
        <f aca="false">(C17*(1+C12)/(220*(1+C13)))</f>
        <v>27.0316909090909</v>
      </c>
      <c r="D19" s="221"/>
      <c r="E19" s="219"/>
    </row>
    <row r="21" customFormat="false" ht="12.75" hidden="false" customHeight="false" outlineLevel="0" collapsed="false">
      <c r="B21" s="189" t="s">
        <v>242</v>
      </c>
    </row>
    <row r="22" customFormat="false" ht="48.85" hidden="false" customHeight="true" outlineLevel="0" collapsed="false"/>
    <row r="23" customFormat="false" ht="34.5" hidden="false" customHeight="true" outlineLevel="0" collapsed="false">
      <c r="B23" s="204" t="s">
        <v>243</v>
      </c>
      <c r="C23" s="204"/>
    </row>
    <row r="24" customFormat="false" ht="33.75" hidden="false" customHeight="true" outlineLevel="0" collapsed="false">
      <c r="B24" s="204" t="s">
        <v>244</v>
      </c>
      <c r="C24" s="204"/>
    </row>
    <row r="25" customFormat="false" ht="30" hidden="false" customHeight="true" outlineLevel="0" collapsed="false">
      <c r="B25" s="204" t="s">
        <v>245</v>
      </c>
      <c r="C25" s="204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O16" activeCellId="0" sqref="O16"/>
    </sheetView>
  </sheetViews>
  <sheetFormatPr defaultColWidth="8.125" defaultRowHeight="12.75" zeroHeight="false" outlineLevelRow="0" outlineLevelCol="0"/>
  <cols>
    <col collapsed="false" customWidth="true" hidden="false" outlineLevel="0" max="1" min="1" style="222" width="5.62"/>
    <col collapsed="false" customWidth="true" hidden="false" outlineLevel="0" max="2" min="2" style="222" width="2.88"/>
    <col collapsed="false" customWidth="true" hidden="false" outlineLevel="0" max="3" min="3" style="222" width="11.75"/>
    <col collapsed="false" customWidth="true" hidden="false" outlineLevel="0" max="4" min="4" style="222" width="57.75"/>
    <col collapsed="false" customWidth="true" hidden="false" outlineLevel="0" max="5" min="5" style="222" width="28.88"/>
    <col collapsed="false" customWidth="true" hidden="false" outlineLevel="0" max="6" min="6" style="222" width="9.62"/>
    <col collapsed="false" customWidth="true" hidden="false" outlineLevel="0" max="7" min="7" style="222" width="13.25"/>
    <col collapsed="false" customWidth="true" hidden="false" outlineLevel="0" max="8" min="8" style="222" width="11.5"/>
    <col collapsed="false" customWidth="true" hidden="false" outlineLevel="0" max="9" min="9" style="222" width="13.5"/>
    <col collapsed="false" customWidth="true" hidden="false" outlineLevel="0" max="1026" min="10" style="222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23" t="s">
        <v>246</v>
      </c>
      <c r="C2" s="223"/>
      <c r="D2" s="223"/>
      <c r="E2" s="223"/>
      <c r="F2" s="223"/>
      <c r="G2" s="223"/>
      <c r="H2" s="223"/>
      <c r="I2" s="223"/>
    </row>
    <row r="3" customFormat="false" ht="21" hidden="false" customHeight="true" outlineLevel="0" collapsed="false"/>
    <row r="4" customFormat="false" ht="16.5" hidden="false" customHeight="true" outlineLevel="0" collapsed="false">
      <c r="B4" s="224" t="s">
        <v>247</v>
      </c>
      <c r="C4" s="224"/>
      <c r="D4" s="224"/>
      <c r="E4" s="224"/>
      <c r="F4" s="224"/>
      <c r="G4" s="224"/>
      <c r="H4" s="224"/>
      <c r="I4" s="224"/>
    </row>
    <row r="5" customFormat="false" ht="16.5" hidden="false" customHeight="true" outlineLevel="0" collapsed="false">
      <c r="B5" s="225" t="s">
        <v>158</v>
      </c>
      <c r="C5" s="225"/>
      <c r="D5" s="226" t="n">
        <v>88264</v>
      </c>
      <c r="E5" s="226"/>
      <c r="F5" s="226"/>
      <c r="G5" s="226"/>
      <c r="H5" s="226"/>
      <c r="I5" s="226"/>
    </row>
    <row r="6" customFormat="false" ht="16.5" hidden="false" customHeight="true" outlineLevel="0" collapsed="false">
      <c r="B6" s="225" t="s">
        <v>125</v>
      </c>
      <c r="C6" s="225"/>
      <c r="D6" s="226" t="s">
        <v>248</v>
      </c>
      <c r="E6" s="226"/>
      <c r="F6" s="226"/>
      <c r="G6" s="226"/>
      <c r="H6" s="226"/>
      <c r="I6" s="226"/>
    </row>
    <row r="7" customFormat="false" ht="16.5" hidden="false" customHeight="true" outlineLevel="0" collapsed="false">
      <c r="B7" s="225" t="s">
        <v>161</v>
      </c>
      <c r="C7" s="225"/>
      <c r="D7" s="227" t="s">
        <v>162</v>
      </c>
      <c r="E7" s="227"/>
      <c r="F7" s="227"/>
      <c r="G7" s="227"/>
      <c r="H7" s="227"/>
      <c r="I7" s="227"/>
    </row>
    <row r="8" customFormat="false" ht="16.5" hidden="false" customHeight="true" outlineLevel="0" collapsed="false">
      <c r="B8" s="225" t="s">
        <v>163</v>
      </c>
      <c r="C8" s="225"/>
      <c r="D8" s="226" t="s">
        <v>187</v>
      </c>
      <c r="E8" s="226"/>
      <c r="F8" s="226"/>
      <c r="G8" s="226"/>
      <c r="H8" s="226"/>
      <c r="I8" s="226"/>
    </row>
    <row r="9" customFormat="false" ht="16.5" hidden="false" customHeight="true" outlineLevel="0" collapsed="false">
      <c r="B9" s="225" t="s">
        <v>165</v>
      </c>
      <c r="C9" s="225"/>
      <c r="D9" s="226" t="s">
        <v>205</v>
      </c>
      <c r="E9" s="226"/>
      <c r="F9" s="226"/>
      <c r="G9" s="226"/>
      <c r="H9" s="226"/>
      <c r="I9" s="226"/>
    </row>
    <row r="10" customFormat="false" ht="16.5" hidden="false" customHeight="true" outlineLevel="0" collapsed="false">
      <c r="B10" s="225" t="s">
        <v>126</v>
      </c>
      <c r="C10" s="225"/>
      <c r="D10" s="226" t="s">
        <v>174</v>
      </c>
      <c r="E10" s="226"/>
      <c r="F10" s="226"/>
      <c r="G10" s="226"/>
      <c r="H10" s="226"/>
      <c r="I10" s="226"/>
    </row>
    <row r="11" customFormat="false" ht="23.25" hidden="false" customHeight="true" outlineLevel="0" collapsed="false">
      <c r="B11" s="228" t="s">
        <v>167</v>
      </c>
      <c r="C11" s="228"/>
      <c r="D11" s="229" t="n">
        <f aca="false">SUM(I14:I22)</f>
        <v>32.38</v>
      </c>
      <c r="E11" s="229"/>
      <c r="F11" s="229"/>
      <c r="G11" s="229"/>
      <c r="H11" s="229"/>
      <c r="I11" s="229"/>
    </row>
    <row r="12" customFormat="false" ht="15.75" hidden="false" customHeight="true" outlineLevel="0" collapsed="false">
      <c r="B12" s="230"/>
      <c r="C12" s="230"/>
      <c r="D12" s="231"/>
      <c r="E12" s="231"/>
      <c r="F12" s="231"/>
      <c r="G12" s="231"/>
      <c r="H12" s="231"/>
      <c r="I12" s="231"/>
    </row>
    <row r="13" customFormat="false" ht="39.5" hidden="false" customHeight="false" outlineLevel="0" collapsed="false">
      <c r="B13" s="232"/>
      <c r="C13" s="232" t="s">
        <v>168</v>
      </c>
      <c r="D13" s="232" t="s">
        <v>125</v>
      </c>
      <c r="E13" s="232" t="s">
        <v>165</v>
      </c>
      <c r="F13" s="232" t="s">
        <v>126</v>
      </c>
      <c r="G13" s="232" t="s">
        <v>169</v>
      </c>
      <c r="H13" s="232" t="s">
        <v>170</v>
      </c>
      <c r="I13" s="232" t="s">
        <v>167</v>
      </c>
    </row>
    <row r="14" customFormat="false" ht="27.75" hidden="false" customHeight="true" outlineLevel="0" collapsed="false">
      <c r="B14" s="233" t="s">
        <v>171</v>
      </c>
      <c r="C14" s="233" t="n">
        <v>95332</v>
      </c>
      <c r="D14" s="233" t="s">
        <v>249</v>
      </c>
      <c r="E14" s="233" t="s">
        <v>205</v>
      </c>
      <c r="F14" s="233" t="s">
        <v>174</v>
      </c>
      <c r="G14" s="185" t="n">
        <v>1.26</v>
      </c>
      <c r="H14" s="234" t="n">
        <v>1</v>
      </c>
      <c r="I14" s="235" t="n">
        <f aca="false">G14*H14</f>
        <v>1.26</v>
      </c>
      <c r="J14" s="236"/>
      <c r="K14" s="236"/>
    </row>
    <row r="15" customFormat="false" ht="32.25" hidden="false" customHeight="true" outlineLevel="0" collapsed="false">
      <c r="B15" s="233" t="s">
        <v>206</v>
      </c>
      <c r="C15" s="233" t="s">
        <v>250</v>
      </c>
      <c r="D15" s="233" t="s">
        <v>251</v>
      </c>
      <c r="E15" s="233" t="s">
        <v>211</v>
      </c>
      <c r="F15" s="233" t="s">
        <v>174</v>
      </c>
      <c r="G15" s="185" t="n">
        <v>27.03</v>
      </c>
      <c r="H15" s="234" t="n">
        <v>1</v>
      </c>
      <c r="I15" s="235" t="n">
        <f aca="false">G15*H15</f>
        <v>27.03</v>
      </c>
      <c r="J15" s="236"/>
      <c r="K15" s="236"/>
    </row>
    <row r="16" customFormat="false" ht="42" hidden="false" customHeight="true" outlineLevel="0" collapsed="false">
      <c r="B16" s="233" t="s">
        <v>206</v>
      </c>
      <c r="C16" s="233" t="n">
        <v>37370</v>
      </c>
      <c r="D16" s="233" t="s">
        <v>252</v>
      </c>
      <c r="E16" s="233" t="s">
        <v>214</v>
      </c>
      <c r="F16" s="233" t="s">
        <v>174</v>
      </c>
      <c r="G16" s="185" t="n">
        <v>0.01</v>
      </c>
      <c r="H16" s="234" t="n">
        <v>1</v>
      </c>
      <c r="I16" s="235" t="n">
        <f aca="false">G16*H16</f>
        <v>0.01</v>
      </c>
      <c r="J16" s="236"/>
      <c r="K16" s="236"/>
    </row>
    <row r="17" customFormat="false" ht="27.75" hidden="false" customHeight="true" outlineLevel="0" collapsed="false">
      <c r="B17" s="233" t="s">
        <v>206</v>
      </c>
      <c r="C17" s="233" t="n">
        <v>37371</v>
      </c>
      <c r="D17" s="233" t="s">
        <v>253</v>
      </c>
      <c r="E17" s="233" t="s">
        <v>254</v>
      </c>
      <c r="F17" s="233" t="s">
        <v>174</v>
      </c>
      <c r="G17" s="185" t="n">
        <v>0.55</v>
      </c>
      <c r="H17" s="234" t="n">
        <v>1</v>
      </c>
      <c r="I17" s="235" t="n">
        <f aca="false">G17*H17</f>
        <v>0.55</v>
      </c>
      <c r="J17" s="236"/>
      <c r="K17" s="236"/>
    </row>
    <row r="18" customFormat="false" ht="42" hidden="false" customHeight="true" outlineLevel="0" collapsed="false">
      <c r="B18" s="233" t="s">
        <v>206</v>
      </c>
      <c r="C18" s="233" t="n">
        <v>37372</v>
      </c>
      <c r="D18" s="233" t="s">
        <v>213</v>
      </c>
      <c r="E18" s="233" t="s">
        <v>214</v>
      </c>
      <c r="F18" s="233" t="s">
        <v>174</v>
      </c>
      <c r="G18" s="185" t="n">
        <v>1.14</v>
      </c>
      <c r="H18" s="234" t="n">
        <v>1</v>
      </c>
      <c r="I18" s="235" t="n">
        <f aca="false">G18*H18</f>
        <v>1.14</v>
      </c>
      <c r="J18" s="236"/>
      <c r="K18" s="236"/>
    </row>
    <row r="19" customFormat="false" ht="27.75" hidden="false" customHeight="true" outlineLevel="0" collapsed="false">
      <c r="B19" s="233" t="s">
        <v>206</v>
      </c>
      <c r="C19" s="233" t="n">
        <v>37373</v>
      </c>
      <c r="D19" s="233" t="s">
        <v>217</v>
      </c>
      <c r="E19" s="233" t="s">
        <v>218</v>
      </c>
      <c r="F19" s="233" t="s">
        <v>174</v>
      </c>
      <c r="G19" s="185" t="n">
        <v>0.07</v>
      </c>
      <c r="H19" s="234" t="n">
        <v>1</v>
      </c>
      <c r="I19" s="235" t="n">
        <f aca="false">G19*H19</f>
        <v>0.07</v>
      </c>
      <c r="J19" s="236"/>
      <c r="K19" s="236"/>
    </row>
    <row r="20" customFormat="false" ht="27.75" hidden="false" customHeight="true" outlineLevel="0" collapsed="false">
      <c r="B20" s="233" t="s">
        <v>206</v>
      </c>
      <c r="C20" s="233" t="n">
        <v>43460</v>
      </c>
      <c r="D20" s="233" t="s">
        <v>255</v>
      </c>
      <c r="E20" s="233" t="s">
        <v>222</v>
      </c>
      <c r="F20" s="233" t="s">
        <v>174</v>
      </c>
      <c r="G20" s="185" t="n">
        <v>0.86</v>
      </c>
      <c r="H20" s="234" t="n">
        <v>1</v>
      </c>
      <c r="I20" s="235" t="n">
        <f aca="false">G20*H20</f>
        <v>0.86</v>
      </c>
      <c r="J20" s="236"/>
      <c r="K20" s="236"/>
    </row>
    <row r="21" customFormat="false" ht="29.25" hidden="false" customHeight="true" outlineLevel="0" collapsed="false">
      <c r="B21" s="237" t="s">
        <v>206</v>
      </c>
      <c r="C21" s="237" t="n">
        <v>43461</v>
      </c>
      <c r="D21" s="237" t="s">
        <v>256</v>
      </c>
      <c r="E21" s="237" t="s">
        <v>222</v>
      </c>
      <c r="F21" s="237" t="s">
        <v>174</v>
      </c>
      <c r="G21" s="238" t="n">
        <v>0.32</v>
      </c>
      <c r="H21" s="239" t="n">
        <v>1</v>
      </c>
      <c r="I21" s="240" t="n">
        <f aca="false">G21*H21</f>
        <v>0.32</v>
      </c>
      <c r="J21" s="236"/>
      <c r="K21" s="236"/>
    </row>
    <row r="22" customFormat="false" ht="27.75" hidden="false" customHeight="true" outlineLevel="0" collapsed="false">
      <c r="B22" s="233" t="s">
        <v>206</v>
      </c>
      <c r="C22" s="233" t="n">
        <v>43484</v>
      </c>
      <c r="D22" s="233" t="s">
        <v>257</v>
      </c>
      <c r="E22" s="233" t="s">
        <v>222</v>
      </c>
      <c r="F22" s="233" t="s">
        <v>174</v>
      </c>
      <c r="G22" s="185" t="n">
        <v>1.14</v>
      </c>
      <c r="H22" s="234" t="n">
        <v>1</v>
      </c>
      <c r="I22" s="235" t="n">
        <f aca="false">G22*H22</f>
        <v>1.14</v>
      </c>
      <c r="J22" s="236"/>
      <c r="K22" s="236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32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L40" activeCellId="0" sqref="L40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15.5"/>
    <col collapsed="false" customWidth="true" hidden="false" outlineLevel="0" max="3" min="3" style="17" width="16.26"/>
    <col collapsed="false" customWidth="true" hidden="false" outlineLevel="0" max="4" min="4" style="16" width="34.88"/>
    <col collapsed="false" customWidth="true" hidden="false" outlineLevel="0" max="5" min="5" style="16" width="36.88"/>
    <col collapsed="false" customWidth="true" hidden="false" outlineLevel="0" max="6" min="6" style="17" width="15.26"/>
    <col collapsed="false" customWidth="true" hidden="false" outlineLevel="0" max="7" min="7" style="16" width="9"/>
    <col collapsed="false" customWidth="true" hidden="false" outlineLevel="0" max="8" min="8" style="16" width="9.12"/>
    <col collapsed="false" customWidth="true" hidden="false" outlineLevel="0" max="9" min="9" style="16" width="12"/>
    <col collapsed="false" customWidth="true" hidden="false" outlineLevel="0" max="11" min="10" style="16" width="11.25"/>
    <col collapsed="false" customWidth="true" hidden="false" outlineLevel="0" max="12" min="12" style="16" width="10.38"/>
    <col collapsed="false" customWidth="true" hidden="false" outlineLevel="0" max="13" min="13" style="16" width="10.5"/>
    <col collapsed="false" customWidth="true" hidden="false" outlineLevel="0" max="14" min="14" style="16" width="12.5"/>
    <col collapsed="false" customWidth="true" hidden="false" outlineLevel="0" max="259" min="15" style="16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41" customFormat="true" ht="29.25" hidden="false" customHeight="true" outlineLevel="0" collapsed="false">
      <c r="B2" s="242" t="str">
        <f aca="false">"RELAÇÃO DE UNIDADES DO "&amp;'Valor da Contratação'!B7&amp;""</f>
        <v>RELAÇÃO DE UNIDADES DO POLO V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="16" customFormat="true" ht="15" hidden="false" customHeight="true" outlineLevel="0" collapsed="false"/>
    <row r="4" customFormat="false" ht="66.75" hidden="false" customHeight="true" outlineLevel="0" collapsed="false">
      <c r="B4" s="32" t="s">
        <v>258</v>
      </c>
      <c r="C4" s="32" t="s">
        <v>13</v>
      </c>
      <c r="D4" s="32" t="s">
        <v>41</v>
      </c>
      <c r="E4" s="32" t="s">
        <v>259</v>
      </c>
      <c r="F4" s="32" t="s">
        <v>260</v>
      </c>
      <c r="G4" s="32" t="s">
        <v>261</v>
      </c>
      <c r="H4" s="32" t="s">
        <v>71</v>
      </c>
      <c r="I4" s="32" t="s">
        <v>262</v>
      </c>
      <c r="J4" s="32" t="s">
        <v>263</v>
      </c>
      <c r="K4" s="32" t="s">
        <v>264</v>
      </c>
      <c r="L4" s="32" t="s">
        <v>265</v>
      </c>
      <c r="M4" s="32" t="s">
        <v>266</v>
      </c>
      <c r="N4" s="32" t="s">
        <v>267</v>
      </c>
    </row>
    <row r="5" customFormat="false" ht="18" hidden="false" customHeight="true" outlineLevel="0" collapsed="false">
      <c r="B5" s="243" t="s">
        <v>21</v>
      </c>
      <c r="C5" s="243" t="s">
        <v>21</v>
      </c>
      <c r="D5" s="153" t="s">
        <v>81</v>
      </c>
      <c r="E5" s="244" t="s">
        <v>268</v>
      </c>
      <c r="F5" s="67" t="n">
        <f aca="false">104*2/60</f>
        <v>3.46666666666667</v>
      </c>
      <c r="G5" s="245" t="n">
        <v>0.05</v>
      </c>
      <c r="H5" s="245" t="n">
        <f aca="false">HLOOKUP(G5,BDI!$C$19:$J$30,12,)</f>
        <v>0.2624</v>
      </c>
      <c r="I5" s="246" t="n">
        <v>241.15</v>
      </c>
      <c r="J5" s="246" t="n">
        <v>191.95</v>
      </c>
      <c r="K5" s="246" t="n">
        <v>38.5</v>
      </c>
      <c r="L5" s="246" t="n">
        <v>10.7</v>
      </c>
      <c r="M5" s="246" t="s">
        <v>269</v>
      </c>
      <c r="N5" s="246" t="s">
        <v>269</v>
      </c>
    </row>
    <row r="6" customFormat="false" ht="18" hidden="false" customHeight="true" outlineLevel="0" collapsed="false">
      <c r="B6" s="243" t="s">
        <v>21</v>
      </c>
      <c r="C6" s="243" t="s">
        <v>21</v>
      </c>
      <c r="D6" s="153" t="s">
        <v>83</v>
      </c>
      <c r="E6" s="244" t="s">
        <v>270</v>
      </c>
      <c r="F6" s="67" t="n">
        <f aca="false">2*2/60</f>
        <v>0.0666666666666667</v>
      </c>
      <c r="G6" s="245" t="n">
        <v>0.03</v>
      </c>
      <c r="H6" s="245" t="n">
        <f aca="false">HLOOKUP(G6,BDI!$C$19:$J$30,12,)</f>
        <v>0.2354</v>
      </c>
      <c r="I6" s="246" t="n">
        <v>2070.39</v>
      </c>
      <c r="J6" s="246" t="n">
        <v>1389.42</v>
      </c>
      <c r="K6" s="246" t="n">
        <v>680.97</v>
      </c>
      <c r="L6" s="246" t="n">
        <v>0</v>
      </c>
      <c r="M6" s="246" t="s">
        <v>271</v>
      </c>
      <c r="N6" s="246" t="s">
        <v>271</v>
      </c>
    </row>
    <row r="7" customFormat="false" ht="18" hidden="false" customHeight="true" outlineLevel="0" collapsed="false">
      <c r="B7" s="243" t="s">
        <v>21</v>
      </c>
      <c r="C7" s="243" t="s">
        <v>21</v>
      </c>
      <c r="D7" s="153" t="s">
        <v>85</v>
      </c>
      <c r="E7" s="247" t="s">
        <v>272</v>
      </c>
      <c r="F7" s="67" t="n">
        <f aca="false">20*2/60</f>
        <v>0.666666666666667</v>
      </c>
      <c r="G7" s="245" t="n">
        <v>0.05</v>
      </c>
      <c r="H7" s="245" t="n">
        <f aca="false">HLOOKUP(G7,BDI!$C$19:$J$30,12,)</f>
        <v>0.2624</v>
      </c>
      <c r="I7" s="246" t="n">
        <v>365.39</v>
      </c>
      <c r="J7" s="246" t="n">
        <v>315.19</v>
      </c>
      <c r="K7" s="246" t="n">
        <v>50.2</v>
      </c>
      <c r="L7" s="246" t="n">
        <v>0</v>
      </c>
      <c r="M7" s="246" t="s">
        <v>269</v>
      </c>
      <c r="N7" s="246" t="s">
        <v>269</v>
      </c>
    </row>
    <row r="8" customFormat="false" ht="18" hidden="false" customHeight="true" outlineLevel="0" collapsed="false">
      <c r="B8" s="243" t="s">
        <v>21</v>
      </c>
      <c r="C8" s="243" t="s">
        <v>21</v>
      </c>
      <c r="D8" s="153" t="s">
        <v>86</v>
      </c>
      <c r="E8" s="247" t="s">
        <v>273</v>
      </c>
      <c r="F8" s="67" t="n">
        <f aca="false">650/60</f>
        <v>10.8333333333333</v>
      </c>
      <c r="G8" s="245" t="n">
        <v>0.04</v>
      </c>
      <c r="H8" s="245" t="n">
        <f aca="false">HLOOKUP(G8,BDI!$C$19:$J$30,12,)</f>
        <v>0.2487</v>
      </c>
      <c r="I8" s="246" t="n">
        <v>2072.94</v>
      </c>
      <c r="J8" s="246" t="n">
        <v>742.17</v>
      </c>
      <c r="K8" s="246" t="n">
        <v>695</v>
      </c>
      <c r="L8" s="246" t="n">
        <v>635.77</v>
      </c>
      <c r="M8" s="246" t="s">
        <v>271</v>
      </c>
      <c r="N8" s="246" t="s">
        <v>271</v>
      </c>
    </row>
    <row r="9" customFormat="false" ht="18" hidden="false" customHeight="true" outlineLevel="0" collapsed="false">
      <c r="B9" s="243" t="s">
        <v>21</v>
      </c>
      <c r="C9" s="243" t="s">
        <v>21</v>
      </c>
      <c r="D9" s="153" t="s">
        <v>87</v>
      </c>
      <c r="E9" s="247" t="s">
        <v>274</v>
      </c>
      <c r="F9" s="67" t="n">
        <f aca="false">8*2/60</f>
        <v>0.266666666666667</v>
      </c>
      <c r="G9" s="245" t="n">
        <v>0.03</v>
      </c>
      <c r="H9" s="245" t="n">
        <f aca="false">HLOOKUP(G9,BDI!$C$19:$J$30,12,)</f>
        <v>0.2354</v>
      </c>
      <c r="I9" s="246" t="n">
        <v>3639.25</v>
      </c>
      <c r="J9" s="246" t="n">
        <v>319.46</v>
      </c>
      <c r="K9" s="246" t="n">
        <v>507.75</v>
      </c>
      <c r="L9" s="246" t="n">
        <v>2812.04</v>
      </c>
      <c r="M9" s="246" t="s">
        <v>271</v>
      </c>
      <c r="N9" s="246" t="s">
        <v>271</v>
      </c>
    </row>
    <row r="10" customFormat="false" ht="18" hidden="false" customHeight="true" outlineLevel="0" collapsed="false">
      <c r="B10" s="243" t="s">
        <v>21</v>
      </c>
      <c r="C10" s="243" t="s">
        <v>21</v>
      </c>
      <c r="D10" s="153" t="s">
        <v>89</v>
      </c>
      <c r="E10" s="247" t="s">
        <v>275</v>
      </c>
      <c r="F10" s="67" t="n">
        <f aca="false">53*2/60</f>
        <v>1.76666666666667</v>
      </c>
      <c r="G10" s="245" t="n">
        <v>0.05</v>
      </c>
      <c r="H10" s="245" t="n">
        <f aca="false">HLOOKUP(G10,BDI!$C$19:$J$30,12,)</f>
        <v>0.2624</v>
      </c>
      <c r="I10" s="246" t="n">
        <v>334.4</v>
      </c>
      <c r="J10" s="246" t="n">
        <v>296</v>
      </c>
      <c r="K10" s="246" t="n">
        <v>38.4</v>
      </c>
      <c r="L10" s="246" t="n">
        <v>0</v>
      </c>
      <c r="M10" s="246" t="s">
        <v>269</v>
      </c>
      <c r="N10" s="246" t="s">
        <v>269</v>
      </c>
    </row>
    <row r="11" customFormat="false" ht="18" hidden="false" customHeight="true" outlineLevel="0" collapsed="false">
      <c r="B11" s="243" t="s">
        <v>21</v>
      </c>
      <c r="C11" s="243" t="s">
        <v>21</v>
      </c>
      <c r="D11" s="153" t="s">
        <v>90</v>
      </c>
      <c r="E11" s="247" t="s">
        <v>276</v>
      </c>
      <c r="F11" s="67" t="n">
        <f aca="false">218*2/60</f>
        <v>7.26666666666667</v>
      </c>
      <c r="G11" s="245" t="n">
        <v>0.02</v>
      </c>
      <c r="H11" s="245" t="n">
        <f aca="false">HLOOKUP(G11,BDI!$C$19:$J$30,12,)</f>
        <v>0.2223</v>
      </c>
      <c r="I11" s="246" t="n">
        <v>3202.15</v>
      </c>
      <c r="J11" s="246" t="n">
        <v>1561.81</v>
      </c>
      <c r="K11" s="246" t="n">
        <v>732</v>
      </c>
      <c r="L11" s="246" t="n">
        <v>908.34</v>
      </c>
      <c r="M11" s="246" t="s">
        <v>269</v>
      </c>
      <c r="N11" s="246" t="s">
        <v>271</v>
      </c>
    </row>
    <row r="12" customFormat="false" ht="18" hidden="false" customHeight="true" outlineLevel="0" collapsed="false">
      <c r="B12" s="243" t="s">
        <v>21</v>
      </c>
      <c r="C12" s="243" t="s">
        <v>21</v>
      </c>
      <c r="D12" s="153" t="s">
        <v>92</v>
      </c>
      <c r="E12" s="247" t="s">
        <v>277</v>
      </c>
      <c r="F12" s="67" t="n">
        <f aca="false">18*2/60</f>
        <v>0.6</v>
      </c>
      <c r="G12" s="245" t="n">
        <v>0.02</v>
      </c>
      <c r="H12" s="245" t="n">
        <f aca="false">HLOOKUP(G12,BDI!$C$19:$J$30,12,)</f>
        <v>0.2223</v>
      </c>
      <c r="I12" s="246" t="n">
        <v>529.71</v>
      </c>
      <c r="J12" s="246" t="n">
        <v>482.71</v>
      </c>
      <c r="K12" s="246" t="n">
        <v>0</v>
      </c>
      <c r="L12" s="246" t="n">
        <v>47</v>
      </c>
      <c r="M12" s="246" t="s">
        <v>269</v>
      </c>
      <c r="N12" s="246" t="s">
        <v>269</v>
      </c>
    </row>
    <row r="13" customFormat="false" ht="18" hidden="false" customHeight="true" outlineLevel="0" collapsed="false">
      <c r="B13" s="243" t="s">
        <v>21</v>
      </c>
      <c r="C13" s="243" t="s">
        <v>21</v>
      </c>
      <c r="D13" s="153" t="s">
        <v>94</v>
      </c>
      <c r="E13" s="247" t="s">
        <v>278</v>
      </c>
      <c r="F13" s="67" t="n">
        <f aca="false">8*2/60</f>
        <v>0.266666666666667</v>
      </c>
      <c r="G13" s="245" t="n">
        <v>0.025</v>
      </c>
      <c r="H13" s="245" t="n">
        <f aca="false">HLOOKUP(G13,BDI!$C$19:$J$30,12,)</f>
        <v>0.2288</v>
      </c>
      <c r="I13" s="246" t="n">
        <v>523.97</v>
      </c>
      <c r="J13" s="246" t="n">
        <v>460.97</v>
      </c>
      <c r="K13" s="246" t="n">
        <v>63</v>
      </c>
      <c r="L13" s="246" t="n">
        <v>0</v>
      </c>
      <c r="M13" s="246" t="s">
        <v>269</v>
      </c>
      <c r="N13" s="246" t="s">
        <v>269</v>
      </c>
    </row>
    <row r="14" customFormat="false" ht="18" hidden="false" customHeight="true" outlineLevel="0" collapsed="false">
      <c r="B14" s="243" t="s">
        <v>21</v>
      </c>
      <c r="C14" s="243" t="s">
        <v>21</v>
      </c>
      <c r="D14" s="153" t="s">
        <v>96</v>
      </c>
      <c r="E14" s="247" t="s">
        <v>279</v>
      </c>
      <c r="F14" s="67" t="n">
        <f aca="false">42*2/60</f>
        <v>1.4</v>
      </c>
      <c r="G14" s="245" t="n">
        <v>0.02</v>
      </c>
      <c r="H14" s="245" t="n">
        <f aca="false">HLOOKUP(G14,BDI!$C$19:$J$30,12,)</f>
        <v>0.2223</v>
      </c>
      <c r="I14" s="246" t="n">
        <v>347.21</v>
      </c>
      <c r="J14" s="246" t="n">
        <v>313.21</v>
      </c>
      <c r="K14" s="246" t="n">
        <v>34</v>
      </c>
      <c r="L14" s="246" t="n">
        <v>0</v>
      </c>
      <c r="M14" s="246" t="s">
        <v>269</v>
      </c>
      <c r="N14" s="246" t="s">
        <v>269</v>
      </c>
    </row>
    <row r="15" customFormat="false" ht="18" hidden="false" customHeight="true" outlineLevel="0" collapsed="false">
      <c r="B15" s="243" t="s">
        <v>21</v>
      </c>
      <c r="C15" s="243" t="s">
        <v>21</v>
      </c>
      <c r="D15" s="153" t="s">
        <v>97</v>
      </c>
      <c r="E15" s="247" t="s">
        <v>280</v>
      </c>
      <c r="F15" s="67" t="n">
        <f aca="false">18*2/60</f>
        <v>0.6</v>
      </c>
      <c r="G15" s="245" t="n">
        <v>0.02</v>
      </c>
      <c r="H15" s="245" t="n">
        <f aca="false">HLOOKUP(G15,BDI!$C$19:$J$30,12,)</f>
        <v>0.2223</v>
      </c>
      <c r="I15" s="246" t="n">
        <v>264.93</v>
      </c>
      <c r="J15" s="246" t="n">
        <v>70.93</v>
      </c>
      <c r="K15" s="246" t="n">
        <v>194</v>
      </c>
      <c r="L15" s="246" t="n">
        <v>0</v>
      </c>
      <c r="M15" s="246" t="s">
        <v>269</v>
      </c>
      <c r="N15" s="246" t="s">
        <v>269</v>
      </c>
    </row>
    <row r="16" customFormat="false" ht="18" hidden="false" customHeight="true" outlineLevel="0" collapsed="false">
      <c r="B16" s="243" t="s">
        <v>21</v>
      </c>
      <c r="C16" s="243" t="s">
        <v>21</v>
      </c>
      <c r="D16" s="153" t="s">
        <v>98</v>
      </c>
      <c r="E16" s="247" t="s">
        <v>281</v>
      </c>
      <c r="F16" s="67" t="n">
        <f aca="false">7*2/60</f>
        <v>0.233333333333333</v>
      </c>
      <c r="G16" s="245" t="n">
        <v>0.03</v>
      </c>
      <c r="H16" s="245" t="n">
        <f aca="false">HLOOKUP(G16,BDI!$C$19:$J$30,12,)</f>
        <v>0.2354</v>
      </c>
      <c r="I16" s="246" t="n">
        <v>4300.85</v>
      </c>
      <c r="J16" s="246" t="n">
        <v>150</v>
      </c>
      <c r="K16" s="246" t="n">
        <v>1946.91</v>
      </c>
      <c r="L16" s="246" t="n">
        <v>2203.94</v>
      </c>
      <c r="M16" s="246" t="s">
        <v>269</v>
      </c>
      <c r="N16" s="246" t="s">
        <v>271</v>
      </c>
    </row>
    <row r="17" customFormat="false" ht="18" hidden="false" customHeight="true" outlineLevel="0" collapsed="false">
      <c r="B17" s="243" t="s">
        <v>21</v>
      </c>
      <c r="C17" s="243" t="s">
        <v>21</v>
      </c>
      <c r="D17" s="153" t="s">
        <v>99</v>
      </c>
      <c r="E17" s="247" t="s">
        <v>282</v>
      </c>
      <c r="F17" s="67" t="n">
        <v>0</v>
      </c>
      <c r="G17" s="245" t="n">
        <v>0.03</v>
      </c>
      <c r="H17" s="245" t="n">
        <f aca="false">HLOOKUP(G17,BDI!$C$19:$J$30,12,)</f>
        <v>0.2354</v>
      </c>
      <c r="I17" s="246" t="n">
        <v>3428.79</v>
      </c>
      <c r="J17" s="246" t="n">
        <v>2957.89</v>
      </c>
      <c r="K17" s="246" t="n">
        <v>470.9</v>
      </c>
      <c r="L17" s="246" t="n">
        <v>0</v>
      </c>
      <c r="M17" s="246" t="s">
        <v>271</v>
      </c>
      <c r="N17" s="246" t="s">
        <v>271</v>
      </c>
    </row>
    <row r="18" customFormat="false" ht="18" hidden="false" customHeight="true" outlineLevel="0" collapsed="false">
      <c r="B18" s="243" t="s">
        <v>21</v>
      </c>
      <c r="C18" s="243" t="s">
        <v>21</v>
      </c>
      <c r="D18" s="153" t="s">
        <v>100</v>
      </c>
      <c r="E18" s="247" t="s">
        <v>283</v>
      </c>
      <c r="F18" s="67" t="n">
        <f aca="false">4*2/60</f>
        <v>0.133333333333333</v>
      </c>
      <c r="G18" s="245" t="n">
        <v>0.03</v>
      </c>
      <c r="H18" s="245" t="n">
        <f aca="false">HLOOKUP(G18,BDI!$C$19:$J$30,12,)</f>
        <v>0.2354</v>
      </c>
      <c r="I18" s="246" t="n">
        <v>232.69</v>
      </c>
      <c r="J18" s="246" t="n">
        <v>201.69</v>
      </c>
      <c r="K18" s="246" t="n">
        <v>31</v>
      </c>
      <c r="L18" s="246" t="n">
        <v>0</v>
      </c>
      <c r="M18" s="246" t="s">
        <v>269</v>
      </c>
      <c r="N18" s="246" t="s">
        <v>269</v>
      </c>
    </row>
    <row r="19" customFormat="false" ht="18" hidden="false" customHeight="true" outlineLevel="0" collapsed="false">
      <c r="B19" s="243" t="s">
        <v>21</v>
      </c>
      <c r="C19" s="243" t="s">
        <v>21</v>
      </c>
      <c r="D19" s="153" t="s">
        <v>101</v>
      </c>
      <c r="E19" s="247" t="s">
        <v>284</v>
      </c>
      <c r="F19" s="67" t="n">
        <f aca="false">9*2/60</f>
        <v>0.3</v>
      </c>
      <c r="G19" s="245" t="n">
        <v>0.03</v>
      </c>
      <c r="H19" s="245" t="n">
        <f aca="false">HLOOKUP(G19,BDI!$C$19:$J$30,12,)</f>
        <v>0.2354</v>
      </c>
      <c r="I19" s="246" t="n">
        <v>4818.5</v>
      </c>
      <c r="J19" s="246" t="n">
        <v>4139.1</v>
      </c>
      <c r="K19" s="246" t="n">
        <v>679.4</v>
      </c>
      <c r="L19" s="246" t="n">
        <v>0</v>
      </c>
      <c r="M19" s="246" t="s">
        <v>271</v>
      </c>
      <c r="N19" s="246" t="s">
        <v>271</v>
      </c>
    </row>
    <row r="20" customFormat="false" ht="18" hidden="false" customHeight="true" outlineLevel="0" collapsed="false">
      <c r="B20" s="243" t="s">
        <v>22</v>
      </c>
      <c r="C20" s="243" t="s">
        <v>22</v>
      </c>
      <c r="D20" s="153" t="s">
        <v>142</v>
      </c>
      <c r="E20" s="247" t="s">
        <v>285</v>
      </c>
      <c r="F20" s="67" t="n">
        <f aca="false">37*2/60</f>
        <v>1.23333333333333</v>
      </c>
      <c r="G20" s="245" t="n">
        <v>0.03</v>
      </c>
      <c r="H20" s="245" t="n">
        <f aca="false">HLOOKUP(G20,BDI!$C$19:$J$30,12,)</f>
        <v>0.2354</v>
      </c>
      <c r="I20" s="246" t="n">
        <v>1502.07</v>
      </c>
      <c r="J20" s="246" t="n">
        <v>779.2</v>
      </c>
      <c r="K20" s="246" t="n">
        <v>490.59</v>
      </c>
      <c r="L20" s="246" t="n">
        <v>232.28</v>
      </c>
      <c r="M20" s="246" t="s">
        <v>271</v>
      </c>
      <c r="N20" s="246" t="s">
        <v>271</v>
      </c>
    </row>
    <row r="21" customFormat="false" ht="18" hidden="false" customHeight="true" outlineLevel="0" collapsed="false">
      <c r="B21" s="243" t="s">
        <v>22</v>
      </c>
      <c r="C21" s="243" t="s">
        <v>22</v>
      </c>
      <c r="D21" s="153" t="s">
        <v>143</v>
      </c>
      <c r="E21" s="247" t="s">
        <v>286</v>
      </c>
      <c r="F21" s="67" t="n">
        <v>2.4</v>
      </c>
      <c r="G21" s="245" t="n">
        <v>0.04</v>
      </c>
      <c r="H21" s="245" t="n">
        <f aca="false">HLOOKUP(G21,BDI!$C$19:$J$30,12,)</f>
        <v>0.2487</v>
      </c>
      <c r="I21" s="246" t="n">
        <v>968.94</v>
      </c>
      <c r="J21" s="246" t="n">
        <v>441.59</v>
      </c>
      <c r="K21" s="246" t="n">
        <v>41.54</v>
      </c>
      <c r="L21" s="246" t="n">
        <v>485.81</v>
      </c>
      <c r="M21" s="246" t="s">
        <v>269</v>
      </c>
      <c r="N21" s="246" t="s">
        <v>271</v>
      </c>
    </row>
    <row r="22" customFormat="false" ht="18" hidden="false" customHeight="true" outlineLevel="0" collapsed="false">
      <c r="B22" s="243" t="s">
        <v>22</v>
      </c>
      <c r="C22" s="243" t="s">
        <v>22</v>
      </c>
      <c r="D22" s="153" t="s">
        <v>144</v>
      </c>
      <c r="E22" s="247" t="s">
        <v>287</v>
      </c>
      <c r="F22" s="67" t="n">
        <f aca="false">57*2/60</f>
        <v>1.9</v>
      </c>
      <c r="G22" s="245" t="n">
        <v>0.03</v>
      </c>
      <c r="H22" s="245" t="n">
        <f aca="false">HLOOKUP(G22,BDI!$C$19:$J$30,12,)</f>
        <v>0.2354</v>
      </c>
      <c r="I22" s="246" t="n">
        <v>334.4</v>
      </c>
      <c r="J22" s="246" t="n">
        <v>296</v>
      </c>
      <c r="K22" s="246" t="n">
        <v>38.4</v>
      </c>
      <c r="L22" s="246" t="n">
        <v>0</v>
      </c>
      <c r="M22" s="246" t="s">
        <v>269</v>
      </c>
      <c r="N22" s="246" t="s">
        <v>269</v>
      </c>
    </row>
    <row r="23" customFormat="false" ht="18" hidden="false" customHeight="true" outlineLevel="0" collapsed="false">
      <c r="B23" s="243" t="s">
        <v>22</v>
      </c>
      <c r="C23" s="243" t="s">
        <v>22</v>
      </c>
      <c r="D23" s="153" t="s">
        <v>145</v>
      </c>
      <c r="E23" s="244" t="s">
        <v>288</v>
      </c>
      <c r="F23" s="67" t="n">
        <f aca="false">24*2/60</f>
        <v>0.8</v>
      </c>
      <c r="G23" s="245" t="n">
        <v>0.04</v>
      </c>
      <c r="H23" s="245" t="n">
        <f aca="false">HLOOKUP(G23,BDI!$C$19:$J$30,12,)</f>
        <v>0.2487</v>
      </c>
      <c r="I23" s="246" t="n">
        <v>334.4</v>
      </c>
      <c r="J23" s="246" t="n">
        <v>296</v>
      </c>
      <c r="K23" s="246" t="n">
        <v>38.4</v>
      </c>
      <c r="L23" s="246" t="n">
        <v>0</v>
      </c>
      <c r="M23" s="246" t="s">
        <v>269</v>
      </c>
      <c r="N23" s="246" t="s">
        <v>269</v>
      </c>
    </row>
    <row r="24" customFormat="false" ht="18" hidden="false" customHeight="true" outlineLevel="0" collapsed="false">
      <c r="B24" s="243" t="s">
        <v>22</v>
      </c>
      <c r="C24" s="243" t="s">
        <v>22</v>
      </c>
      <c r="D24" s="153" t="s">
        <v>146</v>
      </c>
      <c r="E24" s="247" t="s">
        <v>289</v>
      </c>
      <c r="F24" s="67" t="n">
        <f aca="false">17*2/60</f>
        <v>0.566666666666667</v>
      </c>
      <c r="G24" s="245" t="n">
        <v>0.05</v>
      </c>
      <c r="H24" s="245" t="n">
        <f aca="false">HLOOKUP(G24,BDI!$C$19:$J$30,12,)</f>
        <v>0.2624</v>
      </c>
      <c r="I24" s="246" t="n">
        <v>320.7</v>
      </c>
      <c r="J24" s="246" t="n">
        <v>255.98</v>
      </c>
      <c r="K24" s="246" t="n">
        <v>64.72</v>
      </c>
      <c r="L24" s="246" t="n">
        <v>0</v>
      </c>
      <c r="M24" s="246" t="s">
        <v>269</v>
      </c>
      <c r="N24" s="246" t="s">
        <v>269</v>
      </c>
    </row>
    <row r="25" customFormat="false" ht="18" hidden="false" customHeight="true" outlineLevel="0" collapsed="false">
      <c r="B25" s="243" t="s">
        <v>22</v>
      </c>
      <c r="C25" s="243" t="s">
        <v>22</v>
      </c>
      <c r="D25" s="153" t="s">
        <v>147</v>
      </c>
      <c r="E25" s="247" t="s">
        <v>290</v>
      </c>
      <c r="F25" s="67" t="n">
        <f aca="false">72*2/60</f>
        <v>2.4</v>
      </c>
      <c r="G25" s="245" t="n">
        <v>0.05</v>
      </c>
      <c r="H25" s="245" t="n">
        <f aca="false">HLOOKUP(G25,BDI!$C$19:$J$30,12,)</f>
        <v>0.2624</v>
      </c>
      <c r="I25" s="246" t="n">
        <v>855.4</v>
      </c>
      <c r="J25" s="246" t="n">
        <v>626.23</v>
      </c>
      <c r="K25" s="246" t="n">
        <v>229.17</v>
      </c>
      <c r="L25" s="246" t="n">
        <v>0</v>
      </c>
      <c r="M25" s="246" t="s">
        <v>269</v>
      </c>
      <c r="N25" s="246" t="s">
        <v>269</v>
      </c>
    </row>
    <row r="26" customFormat="false" ht="18" hidden="false" customHeight="true" outlineLevel="0" collapsed="false">
      <c r="B26" s="243" t="s">
        <v>22</v>
      </c>
      <c r="C26" s="243" t="s">
        <v>22</v>
      </c>
      <c r="D26" s="153" t="s">
        <v>148</v>
      </c>
      <c r="E26" s="247" t="s">
        <v>291</v>
      </c>
      <c r="F26" s="67" t="n">
        <f aca="false">53*2/60</f>
        <v>1.76666666666667</v>
      </c>
      <c r="G26" s="245" t="n">
        <v>0.03</v>
      </c>
      <c r="H26" s="245" t="n">
        <f aca="false">HLOOKUP(G26,BDI!$C$19:$J$30,12,)</f>
        <v>0.2354</v>
      </c>
      <c r="I26" s="246" t="n">
        <v>334.4</v>
      </c>
      <c r="J26" s="246" t="n">
        <v>296</v>
      </c>
      <c r="K26" s="246" t="n">
        <v>38.4</v>
      </c>
      <c r="L26" s="246" t="n">
        <v>0</v>
      </c>
      <c r="M26" s="246" t="s">
        <v>269</v>
      </c>
      <c r="N26" s="246" t="s">
        <v>269</v>
      </c>
    </row>
    <row r="27" customFormat="false" ht="18" hidden="false" customHeight="true" outlineLevel="0" collapsed="false">
      <c r="B27" s="243" t="s">
        <v>22</v>
      </c>
      <c r="C27" s="243" t="s">
        <v>22</v>
      </c>
      <c r="D27" s="153" t="s">
        <v>149</v>
      </c>
      <c r="E27" s="247" t="s">
        <v>292</v>
      </c>
      <c r="F27" s="67" t="n">
        <f aca="false">51*2/60</f>
        <v>1.7</v>
      </c>
      <c r="G27" s="245" t="n">
        <v>0.02</v>
      </c>
      <c r="H27" s="245" t="n">
        <f aca="false">HLOOKUP(G27,BDI!$C$19:$J$30,12,)</f>
        <v>0.2223</v>
      </c>
      <c r="I27" s="246" t="n">
        <v>3534</v>
      </c>
      <c r="J27" s="246" t="n">
        <v>1583.57</v>
      </c>
      <c r="K27" s="246" t="n">
        <v>673.64</v>
      </c>
      <c r="L27" s="246" t="n">
        <v>1276.79</v>
      </c>
      <c r="M27" s="246" t="s">
        <v>269</v>
      </c>
      <c r="N27" s="246" t="s">
        <v>271</v>
      </c>
    </row>
    <row r="28" customFormat="false" ht="18" hidden="false" customHeight="true" outlineLevel="0" collapsed="false">
      <c r="B28" s="243" t="s">
        <v>22</v>
      </c>
      <c r="C28" s="243" t="s">
        <v>22</v>
      </c>
      <c r="D28" s="153" t="s">
        <v>150</v>
      </c>
      <c r="E28" s="244" t="s">
        <v>293</v>
      </c>
      <c r="F28" s="67" t="n">
        <f aca="false">24*2/60</f>
        <v>0.8</v>
      </c>
      <c r="G28" s="245" t="n">
        <v>0.03</v>
      </c>
      <c r="H28" s="245" t="n">
        <f aca="false">HLOOKUP(G28,BDI!$C$19:$J$30,12,)</f>
        <v>0.2354</v>
      </c>
      <c r="I28" s="246" t="n">
        <v>448.68</v>
      </c>
      <c r="J28" s="246" t="n">
        <v>341.03</v>
      </c>
      <c r="K28" s="246" t="n">
        <v>107.65</v>
      </c>
      <c r="L28" s="246" t="n">
        <v>0</v>
      </c>
      <c r="M28" s="246" t="s">
        <v>269</v>
      </c>
      <c r="N28" s="246" t="s">
        <v>269</v>
      </c>
    </row>
    <row r="29" customFormat="false" ht="18" hidden="false" customHeight="true" outlineLevel="0" collapsed="false">
      <c r="B29" s="243" t="s">
        <v>22</v>
      </c>
      <c r="C29" s="243" t="s">
        <v>22</v>
      </c>
      <c r="D29" s="153" t="s">
        <v>151</v>
      </c>
      <c r="E29" s="247" t="s">
        <v>294</v>
      </c>
      <c r="F29" s="67" t="n">
        <f aca="false">22/60</f>
        <v>0.366666666666667</v>
      </c>
      <c r="G29" s="245" t="n">
        <v>0.04</v>
      </c>
      <c r="H29" s="245" t="n">
        <f aca="false">HLOOKUP(G29,BDI!$C$19:$J$30,12,)</f>
        <v>0.2487</v>
      </c>
      <c r="I29" s="246" t="n">
        <v>2017.43</v>
      </c>
      <c r="J29" s="246" t="n">
        <v>205.51</v>
      </c>
      <c r="K29" s="246" t="n">
        <v>1811.92</v>
      </c>
      <c r="L29" s="246" t="n">
        <v>0</v>
      </c>
      <c r="M29" s="246" t="s">
        <v>271</v>
      </c>
      <c r="N29" s="246" t="s">
        <v>269</v>
      </c>
    </row>
    <row r="30" customFormat="false" ht="18" hidden="false" customHeight="true" outlineLevel="0" collapsed="false">
      <c r="B30" s="243" t="s">
        <v>22</v>
      </c>
      <c r="C30" s="243" t="s">
        <v>22</v>
      </c>
      <c r="D30" s="153" t="s">
        <v>152</v>
      </c>
      <c r="E30" s="247" t="s">
        <v>295</v>
      </c>
      <c r="F30" s="67" t="n">
        <v>0</v>
      </c>
      <c r="G30" s="245" t="n">
        <v>0.04</v>
      </c>
      <c r="H30" s="245" t="n">
        <f aca="false">HLOOKUP(G30,BDI!$C$19:$J$30,12,)</f>
        <v>0.2487</v>
      </c>
      <c r="I30" s="246" t="n">
        <v>3365.38</v>
      </c>
      <c r="J30" s="246" t="n">
        <v>2625.54</v>
      </c>
      <c r="K30" s="246" t="n">
        <v>739.84</v>
      </c>
      <c r="L30" s="246" t="n">
        <v>0</v>
      </c>
      <c r="M30" s="246" t="s">
        <v>269</v>
      </c>
      <c r="N30" s="246" t="s">
        <v>271</v>
      </c>
    </row>
    <row r="31" customFormat="false" ht="18" hidden="false" customHeight="true" outlineLevel="0" collapsed="false">
      <c r="B31" s="243" t="s">
        <v>21</v>
      </c>
      <c r="C31" s="243" t="s">
        <v>22</v>
      </c>
      <c r="D31" s="153" t="s">
        <v>153</v>
      </c>
      <c r="E31" s="247" t="s">
        <v>296</v>
      </c>
      <c r="F31" s="67" t="n">
        <f aca="false">86*2/60</f>
        <v>2.86666666666667</v>
      </c>
      <c r="G31" s="245" t="n">
        <v>0.05</v>
      </c>
      <c r="H31" s="245" t="n">
        <f aca="false">HLOOKUP(G31,BDI!$C$19:$J$30,12,)</f>
        <v>0.2624</v>
      </c>
      <c r="I31" s="246" t="n">
        <v>460.62</v>
      </c>
      <c r="J31" s="246" t="n">
        <v>386.62</v>
      </c>
      <c r="K31" s="246" t="n">
        <v>74</v>
      </c>
      <c r="L31" s="246" t="n">
        <v>0</v>
      </c>
      <c r="M31" s="246" t="s">
        <v>269</v>
      </c>
      <c r="N31" s="246" t="s">
        <v>269</v>
      </c>
    </row>
    <row r="32" customFormat="false" ht="18" hidden="false" customHeight="true" outlineLevel="0" collapsed="false">
      <c r="B32" s="243" t="s">
        <v>21</v>
      </c>
      <c r="C32" s="243" t="s">
        <v>22</v>
      </c>
      <c r="D32" s="153" t="s">
        <v>154</v>
      </c>
      <c r="E32" s="247" t="s">
        <v>297</v>
      </c>
      <c r="F32" s="67" t="n">
        <f aca="false">281/60</f>
        <v>4.68333333333333</v>
      </c>
      <c r="G32" s="245" t="n">
        <v>0.03</v>
      </c>
      <c r="H32" s="245" t="n">
        <f aca="false">HLOOKUP(G32,BDI!$C$19:$J$30,12,)</f>
        <v>0.2354</v>
      </c>
      <c r="I32" s="246" t="n">
        <v>296.9</v>
      </c>
      <c r="J32" s="246" t="n">
        <v>246.9</v>
      </c>
      <c r="K32" s="246" t="n">
        <v>50</v>
      </c>
      <c r="L32" s="246" t="n">
        <v>0</v>
      </c>
      <c r="M32" s="246" t="s">
        <v>269</v>
      </c>
      <c r="N32" s="246" t="s">
        <v>269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D19" activeCellId="0" sqref="D19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8" width="11.62"/>
    <col collapsed="false" customWidth="true" hidden="false" outlineLevel="0" max="3" min="3" style="248" width="42.25"/>
    <col collapsed="false" customWidth="true" hidden="false" outlineLevel="0" max="4" min="4" style="54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9" t="s">
        <v>298</v>
      </c>
      <c r="C2" s="249"/>
      <c r="D2" s="249"/>
      <c r="E2" s="249"/>
      <c r="F2" s="249"/>
      <c r="G2" s="249"/>
      <c r="H2" s="249"/>
      <c r="I2" s="249"/>
      <c r="J2" s="249"/>
    </row>
    <row r="3" customFormat="false" ht="19.5" hidden="false" customHeight="true" outlineLevel="0" collapsed="false">
      <c r="B3" s="250" t="s">
        <v>3</v>
      </c>
      <c r="C3" s="250"/>
      <c r="D3" s="250"/>
      <c r="E3" s="250"/>
      <c r="F3" s="250"/>
      <c r="G3" s="250"/>
      <c r="H3" s="250"/>
      <c r="I3" s="250"/>
      <c r="J3" s="250"/>
    </row>
    <row r="4" customFormat="false" ht="15" hidden="false" customHeight="true" outlineLevel="0" collapsed="false">
      <c r="B4" s="251"/>
      <c r="C4" s="251"/>
      <c r="D4" s="20"/>
    </row>
    <row r="5" customFormat="false" ht="15" hidden="false" customHeight="true" outlineLevel="0" collapsed="false">
      <c r="B5" s="252" t="s">
        <v>299</v>
      </c>
      <c r="C5" s="252"/>
      <c r="D5" s="252"/>
      <c r="E5" s="252"/>
      <c r="F5" s="253"/>
      <c r="G5" s="253"/>
      <c r="H5" s="253"/>
      <c r="I5" s="253"/>
      <c r="J5" s="254"/>
    </row>
    <row r="6" customFormat="false" ht="15" hidden="false" customHeight="true" outlineLevel="0" collapsed="false">
      <c r="B6" s="255"/>
      <c r="C6" s="2"/>
      <c r="D6" s="137"/>
      <c r="E6" s="137"/>
      <c r="J6" s="256"/>
    </row>
    <row r="7" customFormat="false" ht="15" hidden="false" customHeight="true" outlineLevel="0" collapsed="false">
      <c r="B7" s="257" t="s">
        <v>300</v>
      </c>
      <c r="C7" s="257"/>
      <c r="D7" s="257"/>
      <c r="E7" s="257"/>
      <c r="F7" s="257"/>
      <c r="G7" s="257"/>
      <c r="H7" s="257"/>
      <c r="I7" s="257"/>
      <c r="J7" s="257"/>
    </row>
    <row r="8" customFormat="false" ht="15" hidden="false" customHeight="true" outlineLevel="0" collapsed="false">
      <c r="B8" s="258"/>
      <c r="C8" s="259"/>
      <c r="D8" s="137"/>
      <c r="E8" s="137"/>
      <c r="J8" s="256"/>
    </row>
    <row r="9" customFormat="false" ht="15" hidden="false" customHeight="true" outlineLevel="0" collapsed="false">
      <c r="B9" s="260" t="s">
        <v>301</v>
      </c>
      <c r="C9" s="260"/>
      <c r="D9" s="260"/>
      <c r="E9" s="260"/>
      <c r="F9" s="260"/>
      <c r="G9" s="260"/>
      <c r="H9" s="260"/>
      <c r="I9" s="260"/>
      <c r="J9" s="260"/>
    </row>
    <row r="10" customFormat="false" ht="15" hidden="false" customHeight="true" outlineLevel="0" collapsed="false">
      <c r="B10" s="261" t="s">
        <v>302</v>
      </c>
      <c r="C10" s="261"/>
      <c r="D10" s="261"/>
      <c r="E10" s="261"/>
      <c r="F10" s="261"/>
      <c r="G10" s="261"/>
      <c r="H10" s="261"/>
      <c r="I10" s="261"/>
      <c r="J10" s="261"/>
    </row>
    <row r="11" customFormat="false" ht="15" hidden="false" customHeight="true" outlineLevel="0" collapsed="false">
      <c r="B11" s="261" t="s">
        <v>303</v>
      </c>
      <c r="C11" s="261"/>
      <c r="D11" s="261"/>
      <c r="E11" s="261"/>
      <c r="F11" s="261"/>
      <c r="G11" s="261"/>
      <c r="H11" s="261"/>
      <c r="I11" s="261"/>
      <c r="J11" s="261"/>
    </row>
    <row r="12" customFormat="false" ht="15" hidden="false" customHeight="true" outlineLevel="0" collapsed="false">
      <c r="B12" s="261" t="s">
        <v>304</v>
      </c>
      <c r="C12" s="261"/>
      <c r="D12" s="261"/>
      <c r="E12" s="261"/>
      <c r="F12" s="261"/>
      <c r="G12" s="261"/>
      <c r="H12" s="261"/>
      <c r="I12" s="261"/>
      <c r="J12" s="261"/>
    </row>
    <row r="13" customFormat="false" ht="15" hidden="false" customHeight="true" outlineLevel="0" collapsed="false">
      <c r="B13" s="261" t="s">
        <v>305</v>
      </c>
      <c r="C13" s="261"/>
      <c r="D13" s="261"/>
      <c r="E13" s="261"/>
      <c r="F13" s="261"/>
      <c r="G13" s="261"/>
      <c r="H13" s="261"/>
      <c r="I13" s="261"/>
      <c r="J13" s="261"/>
    </row>
    <row r="14" customFormat="false" ht="15" hidden="false" customHeight="true" outlineLevel="0" collapsed="false">
      <c r="B14" s="261" t="s">
        <v>306</v>
      </c>
      <c r="C14" s="261"/>
      <c r="D14" s="261"/>
      <c r="E14" s="261"/>
      <c r="F14" s="261"/>
      <c r="G14" s="261"/>
      <c r="H14" s="261"/>
      <c r="I14" s="261"/>
      <c r="J14" s="261"/>
    </row>
    <row r="15" customFormat="false" ht="15" hidden="false" customHeight="true" outlineLevel="0" collapsed="false">
      <c r="B15" s="261" t="s">
        <v>307</v>
      </c>
      <c r="C15" s="261"/>
      <c r="D15" s="261"/>
      <c r="E15" s="261"/>
      <c r="F15" s="261"/>
      <c r="G15" s="261"/>
      <c r="H15" s="261"/>
      <c r="I15" s="261"/>
      <c r="J15" s="261"/>
    </row>
    <row r="16" customFormat="false" ht="15" hidden="false" customHeight="true" outlineLevel="0" collapsed="false">
      <c r="B16" s="262" t="s">
        <v>308</v>
      </c>
      <c r="C16" s="262"/>
      <c r="D16" s="262"/>
      <c r="E16" s="262"/>
      <c r="F16" s="262"/>
      <c r="G16" s="262"/>
      <c r="H16" s="262"/>
      <c r="I16" s="262"/>
      <c r="J16" s="262"/>
    </row>
    <row r="17" customFormat="false" ht="24.75" hidden="false" customHeight="true" outlineLevel="0" collapsed="false">
      <c r="D17" s="20"/>
    </row>
    <row r="18" customFormat="false" ht="14.25" hidden="false" customHeight="true" outlineLevel="0" collapsed="false">
      <c r="B18" s="32" t="s">
        <v>309</v>
      </c>
      <c r="C18" s="32"/>
      <c r="D18" s="263" t="s">
        <v>261</v>
      </c>
      <c r="E18" s="263" t="s">
        <v>261</v>
      </c>
      <c r="F18" s="263" t="s">
        <v>261</v>
      </c>
      <c r="G18" s="264" t="s">
        <v>261</v>
      </c>
      <c r="H18" s="265" t="s">
        <v>261</v>
      </c>
      <c r="I18" s="265" t="s">
        <v>261</v>
      </c>
      <c r="J18" s="265" t="s">
        <v>261</v>
      </c>
    </row>
    <row r="19" customFormat="false" ht="14.25" hidden="false" customHeight="false" outlineLevel="0" collapsed="false">
      <c r="B19" s="32"/>
      <c r="C19" s="32"/>
      <c r="D19" s="266" t="n">
        <v>0.05</v>
      </c>
      <c r="E19" s="266" t="n">
        <v>0.04</v>
      </c>
      <c r="F19" s="266" t="n">
        <v>0.035</v>
      </c>
      <c r="G19" s="267" t="n">
        <v>0.03</v>
      </c>
      <c r="H19" s="268" t="n">
        <v>0.025</v>
      </c>
      <c r="I19" s="268" t="n">
        <v>0.02</v>
      </c>
      <c r="J19" s="268" t="n">
        <v>0.015</v>
      </c>
    </row>
    <row r="20" customFormat="false" ht="15" hidden="false" customHeight="true" outlineLevel="0" collapsed="false">
      <c r="B20" s="269" t="s">
        <v>310</v>
      </c>
      <c r="C20" s="270" t="s">
        <v>311</v>
      </c>
      <c r="D20" s="271" t="n">
        <v>0.04</v>
      </c>
      <c r="E20" s="271" t="n">
        <v>0.04</v>
      </c>
      <c r="F20" s="271" t="n">
        <v>0.04</v>
      </c>
      <c r="G20" s="271" t="n">
        <v>0.04</v>
      </c>
      <c r="H20" s="271" t="n">
        <v>0.04</v>
      </c>
      <c r="I20" s="271" t="n">
        <v>0.04</v>
      </c>
      <c r="J20" s="271" t="n">
        <v>0.04</v>
      </c>
    </row>
    <row r="21" customFormat="false" ht="15" hidden="false" customHeight="true" outlineLevel="0" collapsed="false">
      <c r="B21" s="269" t="s">
        <v>312</v>
      </c>
      <c r="C21" s="243" t="s">
        <v>313</v>
      </c>
      <c r="D21" s="272" t="n">
        <v>0.0123</v>
      </c>
      <c r="E21" s="272" t="n">
        <v>0.0123</v>
      </c>
      <c r="F21" s="272" t="n">
        <v>0.0123</v>
      </c>
      <c r="G21" s="272" t="n">
        <v>0.0123</v>
      </c>
      <c r="H21" s="272" t="n">
        <v>0.0123</v>
      </c>
      <c r="I21" s="272" t="n">
        <v>0.0123</v>
      </c>
      <c r="J21" s="272" t="n">
        <v>0.0123</v>
      </c>
    </row>
    <row r="22" customFormat="false" ht="15" hidden="false" customHeight="true" outlineLevel="0" collapsed="false">
      <c r="B22" s="269" t="s">
        <v>314</v>
      </c>
      <c r="C22" s="243" t="s">
        <v>315</v>
      </c>
      <c r="D22" s="272" t="n">
        <v>0.008</v>
      </c>
      <c r="E22" s="272" t="n">
        <v>0.008</v>
      </c>
      <c r="F22" s="272" t="n">
        <v>0.008</v>
      </c>
      <c r="G22" s="272" t="n">
        <v>0.008</v>
      </c>
      <c r="H22" s="272" t="n">
        <v>0.008</v>
      </c>
      <c r="I22" s="272" t="n">
        <v>0.008</v>
      </c>
      <c r="J22" s="272" t="n">
        <v>0.008</v>
      </c>
    </row>
    <row r="23" customFormat="false" ht="15" hidden="false" customHeight="true" outlineLevel="0" collapsed="false">
      <c r="B23" s="269" t="s">
        <v>316</v>
      </c>
      <c r="C23" s="243" t="s">
        <v>317</v>
      </c>
      <c r="D23" s="272" t="n">
        <v>0.0127</v>
      </c>
      <c r="E23" s="272" t="n">
        <v>0.0127</v>
      </c>
      <c r="F23" s="272" t="n">
        <v>0.0127</v>
      </c>
      <c r="G23" s="272" t="n">
        <v>0.0127</v>
      </c>
      <c r="H23" s="272" t="n">
        <v>0.0127</v>
      </c>
      <c r="I23" s="272" t="n">
        <v>0.0127</v>
      </c>
      <c r="J23" s="272" t="n">
        <v>0.0127</v>
      </c>
    </row>
    <row r="24" customFormat="false" ht="15" hidden="false" customHeight="true" outlineLevel="0" collapsed="false">
      <c r="B24" s="269" t="s">
        <v>318</v>
      </c>
      <c r="C24" s="243" t="s">
        <v>319</v>
      </c>
      <c r="D24" s="272" t="n">
        <v>0.074</v>
      </c>
      <c r="E24" s="272" t="n">
        <v>0.074</v>
      </c>
      <c r="F24" s="272" t="n">
        <v>0.074</v>
      </c>
      <c r="G24" s="272" t="n">
        <v>0.074</v>
      </c>
      <c r="H24" s="272" t="n">
        <v>0.074</v>
      </c>
      <c r="I24" s="272" t="n">
        <v>0.074</v>
      </c>
      <c r="J24" s="272" t="n">
        <v>0.074</v>
      </c>
    </row>
    <row r="25" customFormat="false" ht="15" hidden="false" customHeight="true" outlineLevel="0" collapsed="false">
      <c r="B25" s="269" t="s">
        <v>206</v>
      </c>
      <c r="C25" s="243" t="s">
        <v>320</v>
      </c>
      <c r="D25" s="272" t="n">
        <v>0.0065</v>
      </c>
      <c r="E25" s="272" t="n">
        <v>0.0065</v>
      </c>
      <c r="F25" s="272" t="n">
        <v>0.0065</v>
      </c>
      <c r="G25" s="272" t="n">
        <v>0.0065</v>
      </c>
      <c r="H25" s="272" t="n">
        <v>0.0065</v>
      </c>
      <c r="I25" s="272" t="n">
        <v>0.0065</v>
      </c>
      <c r="J25" s="272" t="n">
        <v>0.0065</v>
      </c>
    </row>
    <row r="26" customFormat="false" ht="15" hidden="false" customHeight="true" outlineLevel="0" collapsed="false">
      <c r="B26" s="269"/>
      <c r="C26" s="269" t="s">
        <v>321</v>
      </c>
      <c r="D26" s="273" t="n">
        <v>0.03</v>
      </c>
      <c r="E26" s="273" t="n">
        <v>0.03</v>
      </c>
      <c r="F26" s="273" t="n">
        <v>0.03</v>
      </c>
      <c r="G26" s="273" t="n">
        <v>0.03</v>
      </c>
      <c r="H26" s="273" t="n">
        <v>0.03</v>
      </c>
      <c r="I26" s="273" t="n">
        <v>0.03</v>
      </c>
      <c r="J26" s="273" t="n">
        <v>0.03</v>
      </c>
    </row>
    <row r="27" customFormat="false" ht="15" hidden="false" customHeight="true" outlineLevel="0" collapsed="false">
      <c r="B27" s="269"/>
      <c r="C27" s="269" t="s">
        <v>261</v>
      </c>
      <c r="D27" s="273" t="n">
        <v>0.05</v>
      </c>
      <c r="E27" s="273" t="n">
        <v>0.04</v>
      </c>
      <c r="F27" s="272" t="n">
        <v>0.035</v>
      </c>
      <c r="G27" s="273" t="n">
        <v>0.03</v>
      </c>
      <c r="H27" s="273" t="n">
        <v>0.025</v>
      </c>
      <c r="I27" s="273" t="n">
        <v>0.02</v>
      </c>
      <c r="J27" s="272" t="n">
        <v>0.015</v>
      </c>
    </row>
    <row r="28" customFormat="false" ht="15" hidden="false" customHeight="true" outlineLevel="0" collapsed="false">
      <c r="B28" s="269"/>
      <c r="C28" s="269" t="s">
        <v>322</v>
      </c>
      <c r="D28" s="273" t="n">
        <v>0</v>
      </c>
      <c r="E28" s="273" t="n">
        <v>0</v>
      </c>
      <c r="F28" s="272" t="n">
        <v>0</v>
      </c>
      <c r="G28" s="273" t="n">
        <v>0</v>
      </c>
      <c r="H28" s="273" t="n">
        <v>0</v>
      </c>
      <c r="I28" s="273" t="n">
        <v>0</v>
      </c>
      <c r="J28" s="272" t="n">
        <v>0</v>
      </c>
    </row>
    <row r="29" customFormat="false" ht="19.5" hidden="false" customHeight="true" outlineLevel="0" collapsed="false">
      <c r="B29" s="135" t="s">
        <v>323</v>
      </c>
      <c r="C29" s="135"/>
      <c r="D29" s="36" t="n">
        <f aca="false">(((1+D22+D20+D23)*(1+D21)*(1+D24))/(1-(D25+D26+D27+D28))-1)</f>
        <v>0.262401597307061</v>
      </c>
      <c r="E29" s="36" t="n">
        <f aca="false">(((1+E22+E20+E23)*(1+E21)*(1+E24))/(1-(E25+E26+E27+E28))-1)</f>
        <v>0.248731845305902</v>
      </c>
      <c r="F29" s="36" t="n">
        <f aca="false">(((1+F22+F20+F23)*(1+F21)*(1+F24))/(1-(F25+F26+F27+F28))-1)</f>
        <v>0.24200738733441</v>
      </c>
      <c r="G29" s="36" t="n">
        <f aca="false">(((1+G22+G20+G23)*(1+G21)*(1+G24))/(1-(G25+G26+G27+G28))-1)</f>
        <v>0.235354964263524</v>
      </c>
      <c r="H29" s="36" t="n">
        <f aca="false">(((1+H22+H20+H23)*(1+H21)*(1+H24))/(1-(H25+H26+H27+H28))-1)</f>
        <v>0.22877342476292</v>
      </c>
      <c r="I29" s="36" t="n">
        <f aca="false">(((1+I22+I20+I23)*(1+I21)*(1+I24))/(1-(I25+I26+I27+I28))-1)</f>
        <v>0.22226164190779</v>
      </c>
      <c r="J29" s="36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74" t="s">
        <v>324</v>
      </c>
      <c r="C30" s="274"/>
      <c r="D30" s="275" t="n">
        <f aca="false">ROUND(D29,4)</f>
        <v>0.2624</v>
      </c>
      <c r="E30" s="275" t="n">
        <f aca="false">ROUND(E29,4)</f>
        <v>0.2487</v>
      </c>
      <c r="F30" s="275" t="n">
        <f aca="false">ROUND(F29,4)</f>
        <v>0.242</v>
      </c>
      <c r="G30" s="275" t="n">
        <f aca="false">ROUND(G29,4)</f>
        <v>0.2354</v>
      </c>
      <c r="H30" s="275" t="n">
        <f aca="false">ROUND(H29,4)</f>
        <v>0.2288</v>
      </c>
      <c r="I30" s="275" t="n">
        <f aca="false">ROUND(I29,4)</f>
        <v>0.2223</v>
      </c>
      <c r="J30" s="275" t="n">
        <f aca="false">ROUND(J29,4)</f>
        <v>0.2158</v>
      </c>
    </row>
    <row r="31" customFormat="false" ht="24.75" hidden="false" customHeight="true" outlineLevel="0" collapsed="false">
      <c r="B31" s="276"/>
      <c r="C31" s="276"/>
      <c r="D31" s="85"/>
      <c r="E31" s="85"/>
      <c r="F31" s="85"/>
      <c r="G31" s="85"/>
      <c r="H31" s="85"/>
      <c r="I31" s="85"/>
      <c r="J31" s="85"/>
    </row>
    <row r="32" customFormat="false" ht="14.25" hidden="false" customHeight="true" outlineLevel="0" collapsed="false">
      <c r="B32" s="32" t="s">
        <v>325</v>
      </c>
      <c r="C32" s="32"/>
      <c r="D32" s="263" t="s">
        <v>261</v>
      </c>
      <c r="E32" s="263" t="s">
        <v>261</v>
      </c>
      <c r="F32" s="263" t="s">
        <v>261</v>
      </c>
      <c r="G32" s="264" t="s">
        <v>261</v>
      </c>
      <c r="H32" s="265" t="s">
        <v>261</v>
      </c>
      <c r="I32" s="265" t="s">
        <v>261</v>
      </c>
      <c r="J32" s="265" t="s">
        <v>261</v>
      </c>
    </row>
    <row r="33" customFormat="false" ht="14.25" hidden="false" customHeight="false" outlineLevel="0" collapsed="false">
      <c r="B33" s="32"/>
      <c r="C33" s="32"/>
      <c r="D33" s="277" t="n">
        <v>0.05</v>
      </c>
      <c r="E33" s="277" t="n">
        <v>0.04</v>
      </c>
      <c r="F33" s="277" t="n">
        <v>0.035</v>
      </c>
      <c r="G33" s="278" t="n">
        <v>0.03</v>
      </c>
      <c r="H33" s="279" t="n">
        <v>0.025</v>
      </c>
      <c r="I33" s="279" t="n">
        <v>0.02</v>
      </c>
      <c r="J33" s="279" t="n">
        <v>0.015</v>
      </c>
    </row>
    <row r="34" customFormat="false" ht="15" hidden="false" customHeight="true" outlineLevel="0" collapsed="false">
      <c r="B34" s="269" t="s">
        <v>310</v>
      </c>
      <c r="C34" s="270" t="s">
        <v>311</v>
      </c>
      <c r="D34" s="272" t="n">
        <v>0.0345</v>
      </c>
      <c r="E34" s="272" t="n">
        <v>0.0345</v>
      </c>
      <c r="F34" s="272" t="n">
        <v>0.0345</v>
      </c>
      <c r="G34" s="272" t="n">
        <v>0.0345</v>
      </c>
      <c r="H34" s="272" t="n">
        <v>0.0345</v>
      </c>
      <c r="I34" s="272" t="n">
        <v>0.0345</v>
      </c>
      <c r="J34" s="272" t="n">
        <v>0.0345</v>
      </c>
    </row>
    <row r="35" customFormat="false" ht="15" hidden="false" customHeight="true" outlineLevel="0" collapsed="false">
      <c r="B35" s="269" t="s">
        <v>312</v>
      </c>
      <c r="C35" s="243" t="s">
        <v>313</v>
      </c>
      <c r="D35" s="272" t="n">
        <v>0.0085</v>
      </c>
      <c r="E35" s="272" t="n">
        <v>0.0085</v>
      </c>
      <c r="F35" s="272" t="n">
        <v>0.0085</v>
      </c>
      <c r="G35" s="272" t="n">
        <v>0.0085</v>
      </c>
      <c r="H35" s="272" t="n">
        <v>0.0085</v>
      </c>
      <c r="I35" s="272" t="n">
        <v>0.0085</v>
      </c>
      <c r="J35" s="272" t="n">
        <v>0.0085</v>
      </c>
    </row>
    <row r="36" customFormat="false" ht="15" hidden="false" customHeight="true" outlineLevel="0" collapsed="false">
      <c r="B36" s="269" t="s">
        <v>314</v>
      </c>
      <c r="C36" s="243" t="s">
        <v>315</v>
      </c>
      <c r="D36" s="272" t="n">
        <v>0.0048</v>
      </c>
      <c r="E36" s="272" t="n">
        <v>0.0048</v>
      </c>
      <c r="F36" s="272" t="n">
        <v>0.0048</v>
      </c>
      <c r="G36" s="272" t="n">
        <v>0.0048</v>
      </c>
      <c r="H36" s="272" t="n">
        <v>0.0048</v>
      </c>
      <c r="I36" s="272" t="n">
        <v>0.0048</v>
      </c>
      <c r="J36" s="272" t="n">
        <v>0.0048</v>
      </c>
    </row>
    <row r="37" customFormat="false" ht="15" hidden="false" customHeight="true" outlineLevel="0" collapsed="false">
      <c r="B37" s="269" t="s">
        <v>316</v>
      </c>
      <c r="C37" s="243" t="s">
        <v>317</v>
      </c>
      <c r="D37" s="272" t="n">
        <v>0.0085</v>
      </c>
      <c r="E37" s="272" t="n">
        <v>0.0085</v>
      </c>
      <c r="F37" s="272" t="n">
        <v>0.0085</v>
      </c>
      <c r="G37" s="272" t="n">
        <v>0.0085</v>
      </c>
      <c r="H37" s="272" t="n">
        <v>0.0085</v>
      </c>
      <c r="I37" s="272" t="n">
        <v>0.0085</v>
      </c>
      <c r="J37" s="272" t="n">
        <v>0.0085</v>
      </c>
    </row>
    <row r="38" customFormat="false" ht="15" hidden="false" customHeight="true" outlineLevel="0" collapsed="false">
      <c r="B38" s="269" t="s">
        <v>318</v>
      </c>
      <c r="C38" s="243" t="s">
        <v>319</v>
      </c>
      <c r="D38" s="272" t="n">
        <v>0.0511</v>
      </c>
      <c r="E38" s="272" t="n">
        <v>0.0511</v>
      </c>
      <c r="F38" s="272" t="n">
        <v>0.0511</v>
      </c>
      <c r="G38" s="272" t="n">
        <v>0.0511</v>
      </c>
      <c r="H38" s="272" t="n">
        <v>0.0511</v>
      </c>
      <c r="I38" s="272" t="n">
        <v>0.0511</v>
      </c>
      <c r="J38" s="272" t="n">
        <v>0.0511</v>
      </c>
    </row>
    <row r="39" customFormat="false" ht="15" hidden="false" customHeight="true" outlineLevel="0" collapsed="false">
      <c r="B39" s="269" t="s">
        <v>206</v>
      </c>
      <c r="C39" s="243" t="s">
        <v>320</v>
      </c>
      <c r="D39" s="272" t="n">
        <v>0.0065</v>
      </c>
      <c r="E39" s="272" t="n">
        <v>0.0065</v>
      </c>
      <c r="F39" s="272" t="n">
        <v>0.0065</v>
      </c>
      <c r="G39" s="272" t="n">
        <v>0.0065</v>
      </c>
      <c r="H39" s="272" t="n">
        <v>0.0065</v>
      </c>
      <c r="I39" s="272" t="n">
        <v>0.0065</v>
      </c>
      <c r="J39" s="272" t="n">
        <v>0.0065</v>
      </c>
    </row>
    <row r="40" customFormat="false" ht="15" hidden="false" customHeight="true" outlineLevel="0" collapsed="false">
      <c r="B40" s="269"/>
      <c r="C40" s="269" t="s">
        <v>321</v>
      </c>
      <c r="D40" s="273" t="n">
        <v>0.03</v>
      </c>
      <c r="E40" s="273" t="n">
        <v>0.03</v>
      </c>
      <c r="F40" s="273" t="n">
        <v>0.03</v>
      </c>
      <c r="G40" s="273" t="n">
        <v>0.03</v>
      </c>
      <c r="H40" s="273" t="n">
        <v>0.03</v>
      </c>
      <c r="I40" s="273" t="n">
        <v>0.03</v>
      </c>
      <c r="J40" s="273" t="n">
        <v>0.03</v>
      </c>
    </row>
    <row r="41" customFormat="false" ht="15" hidden="false" customHeight="true" outlineLevel="0" collapsed="false">
      <c r="B41" s="269"/>
      <c r="C41" s="269" t="s">
        <v>261</v>
      </c>
      <c r="D41" s="273" t="n">
        <v>0</v>
      </c>
      <c r="E41" s="273" t="n">
        <v>0</v>
      </c>
      <c r="F41" s="272" t="n">
        <v>0</v>
      </c>
      <c r="G41" s="273" t="n">
        <v>0</v>
      </c>
      <c r="H41" s="273" t="n">
        <v>0</v>
      </c>
      <c r="I41" s="273" t="n">
        <v>0</v>
      </c>
      <c r="J41" s="272" t="n">
        <v>0</v>
      </c>
    </row>
    <row r="42" customFormat="false" ht="15" hidden="false" customHeight="true" outlineLevel="0" collapsed="false">
      <c r="B42" s="269"/>
      <c r="C42" s="269" t="s">
        <v>322</v>
      </c>
      <c r="D42" s="273" t="n">
        <v>0</v>
      </c>
      <c r="E42" s="273" t="n">
        <v>0</v>
      </c>
      <c r="F42" s="272" t="n">
        <v>0</v>
      </c>
      <c r="G42" s="273" t="n">
        <v>0</v>
      </c>
      <c r="H42" s="273" t="n">
        <v>0</v>
      </c>
      <c r="I42" s="273" t="n">
        <v>0</v>
      </c>
      <c r="J42" s="272" t="n">
        <v>0</v>
      </c>
    </row>
    <row r="43" customFormat="false" ht="19.5" hidden="false" customHeight="true" outlineLevel="0" collapsed="false">
      <c r="B43" s="89" t="s">
        <v>323</v>
      </c>
      <c r="C43" s="89"/>
      <c r="D43" s="36" t="n">
        <f aca="false">(((1+D36+D34+D37)*(1+D35)*(1+D38))/(1-(D39+D40+D41+D42))-1)</f>
        <v>0.152780479429164</v>
      </c>
      <c r="E43" s="36" t="n">
        <f aca="false">(((1+E36+E34+E37)*(1+E35)*(1+E38))/(1-(E39+E40+E41+E42))-1)</f>
        <v>0.152780479429164</v>
      </c>
      <c r="F43" s="36" t="n">
        <f aca="false">(((1+F36+F34+F37)*(1+F35)*(1+F38))/(1-(F39+F40+F41+F42))-1)</f>
        <v>0.152780479429164</v>
      </c>
      <c r="G43" s="36" t="n">
        <f aca="false">(((1+G36+G34+G37)*(1+G35)*(1+G38))/(1-(G39+G40+G41+G42))-1)</f>
        <v>0.152780479429164</v>
      </c>
      <c r="H43" s="36" t="n">
        <f aca="false">(((1+H36+H34+H37)*(1+H35)*(1+H38))/(1-(H39+H40+H41+H42))-1)</f>
        <v>0.152780479429164</v>
      </c>
      <c r="I43" s="36" t="n">
        <f aca="false">(((1+I36+I34+I37)*(1+I35)*(1+I38))/(1-(I39+I40+I41+I42))-1)</f>
        <v>0.152780479429164</v>
      </c>
      <c r="J43" s="36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80" t="s">
        <v>324</v>
      </c>
      <c r="C44" s="280"/>
      <c r="D44" s="275" t="n">
        <f aca="false">ROUND(D43,4)</f>
        <v>0.1528</v>
      </c>
      <c r="E44" s="275" t="n">
        <f aca="false">ROUND(E43,4)</f>
        <v>0.1528</v>
      </c>
      <c r="F44" s="275" t="n">
        <f aca="false">ROUND(F43,4)</f>
        <v>0.1528</v>
      </c>
      <c r="G44" s="275" t="n">
        <f aca="false">ROUND(G43,4)</f>
        <v>0.1528</v>
      </c>
      <c r="H44" s="275" t="n">
        <f aca="false">ROUND(H43,4)</f>
        <v>0.1528</v>
      </c>
      <c r="I44" s="275" t="n">
        <f aca="false">ROUND(I43,4)</f>
        <v>0.1528</v>
      </c>
      <c r="J44" s="275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2:AMD3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6" width="9.12"/>
    <col collapsed="false" customWidth="true" hidden="false" outlineLevel="0" max="4" min="4" style="16" width="12.25"/>
    <col collapsed="false" customWidth="true" hidden="false" outlineLevel="0" max="5" min="5" style="16" width="13.62"/>
    <col collapsed="false" customWidth="true" hidden="false" outlineLevel="0" max="6" min="6" style="16" width="7"/>
    <col collapsed="false" customWidth="true" hidden="false" outlineLevel="0" max="7" min="7" style="16" width="11.88"/>
    <col collapsed="false" customWidth="true" hidden="false" outlineLevel="0" max="8" min="8" style="16" width="13.25"/>
    <col collapsed="false" customWidth="true" hidden="false" outlineLevel="0" max="9" min="9" style="16" width="12.76"/>
    <col collapsed="false" customWidth="true" hidden="false" outlineLevel="0" max="11" min="10" style="16" width="13"/>
    <col collapsed="false" customWidth="true" hidden="false" outlineLevel="0" max="13" min="12" style="16" width="9.25"/>
    <col collapsed="false" customWidth="true" hidden="false" outlineLevel="0" max="248" min="14" style="16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6" t="str">
        <f aca="false">"DIVISÃO DOS CUSTOS POR ALÍQUOTA DE ISSQN - "&amp;'Valor da Contratação'!B7&amp;""</f>
        <v>DIVISÃO DOS CUSTOS POR ALÍQUOTA DE ISSQN - POLO V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customFormat="false" ht="16.5" hidden="false" customHeight="true" outlineLevel="0" collapsed="false"/>
    <row r="4" customFormat="false" ht="45.75" hidden="false" customHeight="true" outlineLevel="0" collapsed="false">
      <c r="B4" s="281" t="s">
        <v>41</v>
      </c>
      <c r="C4" s="282" t="s">
        <v>326</v>
      </c>
      <c r="D4" s="282" t="s">
        <v>327</v>
      </c>
      <c r="E4" s="282" t="s">
        <v>328</v>
      </c>
      <c r="F4" s="283"/>
      <c r="G4" s="282" t="s">
        <v>329</v>
      </c>
      <c r="H4" s="282" t="s">
        <v>330</v>
      </c>
      <c r="I4" s="282" t="s">
        <v>331</v>
      </c>
      <c r="J4" s="282" t="s">
        <v>332</v>
      </c>
      <c r="K4" s="282" t="s">
        <v>333</v>
      </c>
      <c r="L4" s="282" t="s">
        <v>334</v>
      </c>
      <c r="M4" s="282" t="s">
        <v>335</v>
      </c>
    </row>
    <row r="5" customFormat="false" ht="15" hidden="false" customHeight="true" outlineLevel="0" collapsed="false">
      <c r="B5" s="130" t="str">
        <f aca="false">'Base Florianópolis'!B7</f>
        <v>APS ALFREDO WAGNER</v>
      </c>
      <c r="C5" s="284" t="n">
        <f aca="false">VLOOKUP(B5,Unidades!$D$5:$G$32,4,)</f>
        <v>0.05</v>
      </c>
      <c r="D5" s="285" t="n">
        <f aca="false">'Base Florianópolis'!AD7*12+'Base Florianópolis'!AE7*4+'Base Florianópolis'!AF7*2+'Base Florianópolis'!AG7</f>
        <v>13342.9997620832</v>
      </c>
      <c r="E5" s="285" t="n">
        <f aca="false">'Base Florianópolis'!AK7*12+'Base Florianópolis'!AL7*4+'Base Florianópolis'!AM7*2+'Base Florianópolis'!AN7</f>
        <v>16844.2028996538</v>
      </c>
      <c r="G5" s="273" t="n">
        <v>0.015</v>
      </c>
      <c r="H5" s="286" t="n">
        <f aca="false">SUMIF(C$5:C$32,G5,D$5:D$32)</f>
        <v>0</v>
      </c>
      <c r="I5" s="286" t="n">
        <f aca="false">SUMIF(C$5:C$32,G5,E$5:E$32)</f>
        <v>0</v>
      </c>
      <c r="J5" s="286" t="n">
        <f aca="false">H5*4</f>
        <v>0</v>
      </c>
      <c r="K5" s="286" t="n">
        <f aca="false">I5*4</f>
        <v>0</v>
      </c>
      <c r="L5" s="287" t="n">
        <f aca="false">H5/H$14</f>
        <v>0</v>
      </c>
      <c r="M5" s="287" t="n">
        <f aca="false">I5/I$14</f>
        <v>0</v>
      </c>
    </row>
    <row r="6" customFormat="false" ht="15" hidden="false" customHeight="true" outlineLevel="0" collapsed="false">
      <c r="B6" s="130" t="str">
        <f aca="false">'Base Florianópolis'!B8</f>
        <v>APS BI – FLORIANÓPOLIS</v>
      </c>
      <c r="C6" s="284" t="n">
        <f aca="false">VLOOKUP(B6,Unidades!$D$5:$G$32,4,)</f>
        <v>0.03</v>
      </c>
      <c r="D6" s="285" t="n">
        <f aca="false">'Base Florianópolis'!AD8*12+'Base Florianópolis'!AE8*4+'Base Florianópolis'!AF8*2+'Base Florianópolis'!AG8</f>
        <v>12059.5732420644</v>
      </c>
      <c r="E6" s="285" t="n">
        <f aca="false">'Base Florianópolis'!AK8*12+'Base Florianópolis'!AL8*4+'Base Florianópolis'!AM8*2+'Base Florianópolis'!AN8</f>
        <v>14898.3967832464</v>
      </c>
      <c r="G6" s="273" t="n">
        <v>0.02</v>
      </c>
      <c r="H6" s="286" t="n">
        <f aca="false">SUMIF(C$5:C$32,G6,D$5:D$32)</f>
        <v>50655.6558659007</v>
      </c>
      <c r="I6" s="286" t="n">
        <f aca="false">SUMIF(C$5:C$32,G6,E$5:E$32)</f>
        <v>61916.4081648905</v>
      </c>
      <c r="J6" s="286" t="n">
        <f aca="false">H6*4</f>
        <v>202622.623463603</v>
      </c>
      <c r="K6" s="286" t="n">
        <f aca="false">I6*4</f>
        <v>247665.632659562</v>
      </c>
      <c r="L6" s="287" t="n">
        <f aca="false">H6/H$14</f>
        <v>0.165664277330885</v>
      </c>
      <c r="M6" s="287" t="n">
        <f aca="false">I6/I$14</f>
        <v>0.163182605247196</v>
      </c>
    </row>
    <row r="7" customFormat="false" ht="15" hidden="false" customHeight="true" outlineLevel="0" collapsed="false">
      <c r="B7" s="130" t="str">
        <f aca="false">'Base Florianópolis'!B9</f>
        <v>APS BIGUAÇU</v>
      </c>
      <c r="C7" s="284" t="n">
        <f aca="false">VLOOKUP(B7,Unidades!$D$5:$G$32,4,)</f>
        <v>0.05</v>
      </c>
      <c r="D7" s="285" t="n">
        <f aca="false">'Base Florianópolis'!AD9*12+'Base Florianópolis'!AE9*4+'Base Florianópolis'!AF9*2+'Base Florianópolis'!AG9</f>
        <v>7228.37192874983</v>
      </c>
      <c r="E7" s="285" t="n">
        <f aca="false">'Base Florianópolis'!AK9*12+'Base Florianópolis'!AL9*4+'Base Florianópolis'!AM9*2+'Base Florianópolis'!AN9</f>
        <v>9125.09672285378</v>
      </c>
      <c r="G7" s="273" t="n">
        <v>0.025</v>
      </c>
      <c r="H7" s="286" t="n">
        <f aca="false">SUMIF(C$5:C$32,G7,D$5:D$32)</f>
        <v>7015.67801208316</v>
      </c>
      <c r="I7" s="286" t="n">
        <f aca="false">SUMIF(C$5:C$32,G7,E$5:E$32)</f>
        <v>8620.86514124779</v>
      </c>
      <c r="J7" s="286" t="n">
        <f aca="false">H7*4</f>
        <v>28062.7120483327</v>
      </c>
      <c r="K7" s="286" t="n">
        <f aca="false">I7*4</f>
        <v>34483.4605649912</v>
      </c>
      <c r="L7" s="287" t="n">
        <f aca="false">H7/H$14</f>
        <v>0.0229440761942699</v>
      </c>
      <c r="M7" s="287" t="n">
        <f aca="false">I7/I$14</f>
        <v>0.022720556229411</v>
      </c>
    </row>
    <row r="8" customFormat="false" ht="15" hidden="false" customHeight="true" outlineLevel="0" collapsed="false">
      <c r="B8" s="130" t="str">
        <f aca="false">'Base Florianópolis'!B10</f>
        <v>APS CURITIBANOS</v>
      </c>
      <c r="C8" s="284" t="n">
        <f aca="false">VLOOKUP(B8,Unidades!$D$5:$G$32,4,)</f>
        <v>0.04</v>
      </c>
      <c r="D8" s="285" t="n">
        <f aca="false">'Base Florianópolis'!AD10*12+'Base Florianópolis'!AE10*4+'Base Florianópolis'!AF10*2+'Base Florianópolis'!AG10</f>
        <v>27611.2544087311</v>
      </c>
      <c r="E8" s="285" t="n">
        <f aca="false">'Base Florianópolis'!AK10*12+'Base Florianópolis'!AL10*4+'Base Florianópolis'!AM10*2+'Base Florianópolis'!AN10</f>
        <v>34478.1733801825</v>
      </c>
      <c r="G8" s="273" t="n">
        <v>0.03</v>
      </c>
      <c r="H8" s="286" t="n">
        <f aca="false">SUMIF(C$5:C$32,G8,D$5:D$32)</f>
        <v>124063.91763223</v>
      </c>
      <c r="I8" s="286" t="n">
        <f aca="false">SUMIF(C$5:C$32,G8,E$5:E$32)</f>
        <v>153268.563842857</v>
      </c>
      <c r="J8" s="286" t="n">
        <f aca="false">H8*4</f>
        <v>496255.670528919</v>
      </c>
      <c r="K8" s="286" t="n">
        <f aca="false">I8*4</f>
        <v>613074.255371427</v>
      </c>
      <c r="L8" s="287" t="n">
        <f aca="false">H8/H$14</f>
        <v>0.405738686155621</v>
      </c>
      <c r="M8" s="287" t="n">
        <f aca="false">I8/I$14</f>
        <v>0.403944031827025</v>
      </c>
    </row>
    <row r="9" s="29" customFormat="true" ht="15" hidden="false" customHeight="true" outlineLevel="0" collapsed="false">
      <c r="B9" s="130" t="str">
        <f aca="false">'Base Florianópolis'!B11</f>
        <v>DEPÓSITO FLORIANÓPOLIS - CONTINENTE</v>
      </c>
      <c r="C9" s="284" t="n">
        <f aca="false">VLOOKUP(B9,Unidades!$D$5:$G$32,4,)</f>
        <v>0.03</v>
      </c>
      <c r="D9" s="285" t="n">
        <f aca="false">'Base Florianópolis'!AD11*12+'Base Florianópolis'!AE11*4+'Base Florianópolis'!AF11*2+'Base Florianópolis'!AG11</f>
        <v>11846.8793253977</v>
      </c>
      <c r="E9" s="285" t="n">
        <f aca="false">'Base Florianópolis'!AK11*12+'Base Florianópolis'!AL11*4+'Base Florianópolis'!AM11*2+'Base Florianópolis'!AN11</f>
        <v>14635.6347185964</v>
      </c>
      <c r="G9" s="273" t="n">
        <v>0.035</v>
      </c>
      <c r="H9" s="286" t="n">
        <f aca="false">SUMIF(C$5:C$32,G9,D$5:D$32)</f>
        <v>0</v>
      </c>
      <c r="I9" s="286" t="n">
        <f aca="false">SUMIF(C$5:C$32,G9,E$5:E$32)</f>
        <v>0</v>
      </c>
      <c r="J9" s="286" t="n">
        <f aca="false">H9*4</f>
        <v>0</v>
      </c>
      <c r="K9" s="286" t="n">
        <f aca="false">I9*4</f>
        <v>0</v>
      </c>
      <c r="L9" s="287" t="n">
        <f aca="false">H9/H$14</f>
        <v>0</v>
      </c>
      <c r="M9" s="287" t="n">
        <f aca="false">I9/I$14</f>
        <v>0</v>
      </c>
      <c r="IO9" s="33"/>
    </row>
    <row r="10" s="29" customFormat="true" ht="15" hidden="false" customHeight="true" outlineLevel="0" collapsed="false">
      <c r="B10" s="130" t="str">
        <f aca="false">'Base Florianópolis'!B12</f>
        <v>APS ITAPEMA</v>
      </c>
      <c r="C10" s="284" t="n">
        <f aca="false">VLOOKUP(B10,Unidades!$D$5:$G$32,4,)</f>
        <v>0.05</v>
      </c>
      <c r="D10" s="285" t="n">
        <f aca="false">'Base Florianópolis'!AD12*12+'Base Florianópolis'!AE12*4+'Base Florianópolis'!AF12*2+'Base Florianópolis'!AG12</f>
        <v>8054.13442874983</v>
      </c>
      <c r="E10" s="285" t="n">
        <f aca="false">'Base Florianópolis'!AK12*12+'Base Florianópolis'!AL12*4+'Base Florianópolis'!AM12*2+'Base Florianópolis'!AN12</f>
        <v>10167.5393028538</v>
      </c>
      <c r="G10" s="273" t="n">
        <v>0.04</v>
      </c>
      <c r="H10" s="286" t="n">
        <f aca="false">SUMIF(C$5:C$32,G10,D$5:D$32)</f>
        <v>70134.179583954</v>
      </c>
      <c r="I10" s="286" t="n">
        <f aca="false">SUMIF(C$5:C$32,G10,E$5:E$32)</f>
        <v>87576.5500464833</v>
      </c>
      <c r="J10" s="286" t="n">
        <f aca="false">H10*4</f>
        <v>280536.718335816</v>
      </c>
      <c r="K10" s="286" t="n">
        <f aca="false">I10*4</f>
        <v>350306.200185933</v>
      </c>
      <c r="L10" s="287" t="n">
        <f aca="false">H10/H$14</f>
        <v>0.229366849137798</v>
      </c>
      <c r="M10" s="287" t="n">
        <f aca="false">I10/I$14</f>
        <v>0.230810701374798</v>
      </c>
      <c r="IO10" s="33"/>
    </row>
    <row r="11" customFormat="false" ht="15" hidden="false" customHeight="true" outlineLevel="0" collapsed="false">
      <c r="B11" s="130" t="str">
        <f aca="false">'Base Florianópolis'!B13</f>
        <v>APS LAGES</v>
      </c>
      <c r="C11" s="284" t="n">
        <f aca="false">VLOOKUP(B11,Unidades!$D$5:$G$32,4,)</f>
        <v>0.02</v>
      </c>
      <c r="D11" s="285" t="n">
        <f aca="false">'Base Florianópolis'!AD13*12+'Base Florianópolis'!AE13*4+'Base Florianópolis'!AF13*2+'Base Florianópolis'!AG13</f>
        <v>16747.104373159</v>
      </c>
      <c r="E11" s="285" t="n">
        <f aca="false">'Base Florianópolis'!AK13*12+'Base Florianópolis'!AL13*4+'Base Florianópolis'!AM13*2+'Base Florianópolis'!AN13</f>
        <v>20469.9856753122</v>
      </c>
      <c r="G11" s="273" t="n">
        <v>0.045</v>
      </c>
      <c r="H11" s="286" t="n">
        <f aca="false">SUMIF(C$5:C$32,G11,D$5:D$32)</f>
        <v>0</v>
      </c>
      <c r="I11" s="286" t="n">
        <f aca="false">SUMIF(C$5:C$32,G11,E$5:E$32)</f>
        <v>0</v>
      </c>
      <c r="J11" s="286" t="n">
        <f aca="false">H11*4</f>
        <v>0</v>
      </c>
      <c r="K11" s="286" t="n">
        <f aca="false">I11*4</f>
        <v>0</v>
      </c>
      <c r="L11" s="287" t="n">
        <f aca="false">H11/H$14</f>
        <v>0</v>
      </c>
      <c r="M11" s="287" t="n">
        <f aca="false">I11/I$14</f>
        <v>0</v>
      </c>
    </row>
    <row r="12" customFormat="false" ht="15" hidden="false" customHeight="true" outlineLevel="0" collapsed="false">
      <c r="B12" s="130" t="str">
        <f aca="false">'Base Florianópolis'!B14</f>
        <v>APS PALHOÇA</v>
      </c>
      <c r="C12" s="284" t="n">
        <f aca="false">VLOOKUP(B12,Unidades!$D$5:$G$32,4,)</f>
        <v>0.02</v>
      </c>
      <c r="D12" s="285" t="n">
        <f aca="false">'Base Florianópolis'!AD14*12+'Base Florianópolis'!AE14*4+'Base Florianópolis'!AF14*2+'Base Florianópolis'!AG14</f>
        <v>7170.58242874983</v>
      </c>
      <c r="E12" s="285" t="n">
        <f aca="false">'Base Florianópolis'!AK14*12+'Base Florianópolis'!AL14*4+'Base Florianópolis'!AM14*2+'Base Florianópolis'!AN14</f>
        <v>8764.60290266092</v>
      </c>
      <c r="G12" s="273" t="n">
        <v>0.05</v>
      </c>
      <c r="H12" s="286" t="n">
        <f aca="false">SUMIF(C$5:C$32,G12,D$5:D$32)</f>
        <v>53903.5254058323</v>
      </c>
      <c r="I12" s="286" t="n">
        <f aca="false">SUMIF(C$5:C$32,G12,E$5:E$32)</f>
        <v>68047.8104723227</v>
      </c>
      <c r="J12" s="286" t="n">
        <f aca="false">H12*4</f>
        <v>215614.101623329</v>
      </c>
      <c r="K12" s="286" t="n">
        <f aca="false">I12*4</f>
        <v>272191.241889291</v>
      </c>
      <c r="L12" s="287" t="n">
        <f aca="false">H12/H$14</f>
        <v>0.176286111181426</v>
      </c>
      <c r="M12" s="287" t="n">
        <f aca="false">I12/I$14</f>
        <v>0.17934210532157</v>
      </c>
    </row>
    <row r="13" s="16" customFormat="true" ht="15" hidden="false" customHeight="true" outlineLevel="0" collapsed="false">
      <c r="B13" s="130" t="str">
        <f aca="false">'Base Florianópolis'!B15</f>
        <v>APS SÃO JOSÉ</v>
      </c>
      <c r="C13" s="284" t="n">
        <f aca="false">VLOOKUP(B13,Unidades!$D$5:$G$32,4,)</f>
        <v>0.025</v>
      </c>
      <c r="D13" s="285" t="n">
        <f aca="false">'Base Florianópolis'!AD15*12+'Base Florianópolis'!AE15*4+'Base Florianópolis'!AF15*2+'Base Florianópolis'!AG15</f>
        <v>7015.67801208316</v>
      </c>
      <c r="E13" s="285" t="n">
        <f aca="false">'Base Florianópolis'!AK15*12+'Base Florianópolis'!AL15*4+'Base Florianópolis'!AM15*2+'Base Florianópolis'!AN15</f>
        <v>8620.86514124779</v>
      </c>
      <c r="G13" s="17"/>
    </row>
    <row r="14" s="16" customFormat="true" ht="15" hidden="false" customHeight="true" outlineLevel="0" collapsed="false">
      <c r="B14" s="130" t="str">
        <f aca="false">'Base Florianópolis'!B16</f>
        <v>APS TIJUCAS</v>
      </c>
      <c r="C14" s="284" t="n">
        <f aca="false">VLOOKUP(B14,Unidades!$D$5:$G$32,4,)</f>
        <v>0.02</v>
      </c>
      <c r="D14" s="285" t="n">
        <f aca="false">'Base Florianópolis'!AD16*12+'Base Florianópolis'!AE16*4+'Base Florianópolis'!AF16*2+'Base Florianópolis'!AG16</f>
        <v>8054.13442874983</v>
      </c>
      <c r="E14" s="285" t="n">
        <f aca="false">'Base Florianópolis'!AK16*12+'Base Florianópolis'!AL16*4+'Base Florianópolis'!AM16*2+'Base Florianópolis'!AN16</f>
        <v>9844.56851226092</v>
      </c>
      <c r="G14" s="282" t="s">
        <v>102</v>
      </c>
      <c r="H14" s="288" t="n">
        <f aca="false">SUM(H5:H12)</f>
        <v>305772.9565</v>
      </c>
      <c r="I14" s="288" t="n">
        <f aca="false">SUM(I5:I12)</f>
        <v>379430.197667801</v>
      </c>
      <c r="J14" s="288" t="n">
        <f aca="false">SUM(J5:J12)</f>
        <v>1223091.826</v>
      </c>
      <c r="K14" s="288" t="n">
        <f aca="false">SUM(K5:K12)</f>
        <v>1517720.7906712</v>
      </c>
      <c r="L14" s="289" t="n">
        <f aca="false">SUM(L5:L12)</f>
        <v>1</v>
      </c>
      <c r="M14" s="289" t="n">
        <f aca="false">SUM(M5:M12)</f>
        <v>1</v>
      </c>
    </row>
    <row r="15" s="16" customFormat="true" ht="15" hidden="false" customHeight="true" outlineLevel="0" collapsed="false">
      <c r="B15" s="130" t="str">
        <f aca="false">'Base Florianópolis'!B17</f>
        <v>CEDOC PALHOÇA</v>
      </c>
      <c r="C15" s="284" t="n">
        <f aca="false">VLOOKUP(B15,Unidades!$D$5:$G$32,4,)</f>
        <v>0.02</v>
      </c>
      <c r="D15" s="285" t="n">
        <f aca="false">'Base Florianópolis'!AD17*12+'Base Florianópolis'!AE17*4+'Base Florianópolis'!AF17*2+'Base Florianópolis'!AG17</f>
        <v>7170.58242874983</v>
      </c>
      <c r="E15" s="285" t="n">
        <f aca="false">'Base Florianópolis'!AK17*12+'Base Florianópolis'!AL17*4+'Base Florianópolis'!AM17*2+'Base Florianópolis'!AN17</f>
        <v>8764.60290266092</v>
      </c>
    </row>
    <row r="16" s="16" customFormat="true" ht="15" hidden="false" customHeight="true" outlineLevel="0" collapsed="false">
      <c r="B16" s="130" t="str">
        <f aca="false">'Base Florianópolis'!B18</f>
        <v>GALPÕES AV. MAURO RAMOS</v>
      </c>
      <c r="C16" s="284" t="n">
        <f aca="false">VLOOKUP(B16,Unidades!$D$5:$G$32,4,)</f>
        <v>0.03</v>
      </c>
      <c r="D16" s="285" t="n">
        <f aca="false">'Base Florianópolis'!AD18*12+'Base Florianópolis'!AE18*4+'Base Florianópolis'!AF18*2+'Base Florianópolis'!AG18</f>
        <v>10352.616123159</v>
      </c>
      <c r="E16" s="285" t="n">
        <f aca="false">'Base Florianópolis'!AK18*12+'Base Florianópolis'!AL18*4+'Base Florianópolis'!AM18*2+'Base Florianópolis'!AN18</f>
        <v>12789.6219585506</v>
      </c>
    </row>
    <row r="17" s="16" customFormat="true" ht="15" hidden="false" customHeight="true" outlineLevel="0" collapsed="false">
      <c r="B17" s="130" t="str">
        <f aca="false">'Base Florianópolis'!B19</f>
        <v>GEX/APS FLORIANÓPOLIS</v>
      </c>
      <c r="C17" s="284" t="n">
        <f aca="false">VLOOKUP(B17,Unidades!$D$5:$G$32,4,)</f>
        <v>0.03</v>
      </c>
      <c r="D17" s="285" t="n">
        <f aca="false">'Base Florianópolis'!AD19*12+'Base Florianópolis'!AE19*4+'Base Florianópolis'!AF19*2+'Base Florianópolis'!AG19</f>
        <v>16240.8274445643</v>
      </c>
      <c r="E17" s="285" t="n">
        <f aca="false">'Base Florianópolis'!AK19*12+'Base Florianópolis'!AL19*4+'Base Florianópolis'!AM19*2+'Base Florianópolis'!AN19</f>
        <v>20063.9182250147</v>
      </c>
    </row>
    <row r="18" s="16" customFormat="true" ht="15" hidden="false" customHeight="true" outlineLevel="0" collapsed="false">
      <c r="B18" s="130" t="str">
        <f aca="false">'Base Florianópolis'!B20</f>
        <v>SALAS EMEDAUX</v>
      </c>
      <c r="C18" s="284" t="n">
        <f aca="false">VLOOKUP(B18,Unidades!$D$5:$G$32,4,)</f>
        <v>0.03</v>
      </c>
      <c r="D18" s="285" t="n">
        <f aca="false">'Base Florianópolis'!AD20*12+'Base Florianópolis'!AE20*4+'Base Florianópolis'!AF20*2+'Base Florianópolis'!AG20</f>
        <v>6948.51151208316</v>
      </c>
      <c r="E18" s="285" t="n">
        <f aca="false">'Base Florianópolis'!AK20*12+'Base Florianópolis'!AL20*4+'Base Florianópolis'!AM20*2+'Base Florianópolis'!AN20</f>
        <v>8584.19112202754</v>
      </c>
    </row>
    <row r="19" s="16" customFormat="true" ht="15" hidden="false" customHeight="true" outlineLevel="0" collapsed="false">
      <c r="B19" s="130" t="str">
        <f aca="false">'Base Florianópolis'!B21</f>
        <v>SEDE DA SUPERINTENDÊNCIA</v>
      </c>
      <c r="C19" s="284" t="n">
        <f aca="false">VLOOKUP(B19,Unidades!$D$5:$G$32,4,)</f>
        <v>0.03</v>
      </c>
      <c r="D19" s="285" t="n">
        <f aca="false">'Base Florianópolis'!AD21*12+'Base Florianópolis'!AE21*4+'Base Florianópolis'!AF21*2+'Base Florianópolis'!AG21</f>
        <v>16240.8274445643</v>
      </c>
      <c r="E19" s="285" t="n">
        <f aca="false">'Base Florianópolis'!AK21*12+'Base Florianópolis'!AL21*4+'Base Florianópolis'!AM21*2+'Base Florianópolis'!AN21</f>
        <v>20063.9182250147</v>
      </c>
    </row>
    <row r="20" s="29" customFormat="true" ht="15" hidden="false" customHeight="true" outlineLevel="0" collapsed="false">
      <c r="B20" s="130" t="str">
        <f aca="false">'Base Criciúma'!B7</f>
        <v>APS ARARANGUÁ</v>
      </c>
      <c r="C20" s="284" t="n">
        <f aca="false">VLOOKUP(B20,Unidades!$D$5:$G$32,4,)</f>
        <v>0.03</v>
      </c>
      <c r="D20" s="285" t="n">
        <f aca="false">'Base Criciúma'!AD7*12+'Base Criciúma'!AE7*4+'Base Criciúma'!AF7*2+'Base Criciúma'!AG7</f>
        <v>12951.5433253977</v>
      </c>
      <c r="E20" s="285" t="n">
        <f aca="false">'Base Criciúma'!AK7*12+'Base Criciúma'!AL7*4+'Base Criciúma'!AM7*2+'Base Criciúma'!AN7</f>
        <v>16000.3366241964</v>
      </c>
      <c r="G20" s="16"/>
      <c r="H20" s="16"/>
      <c r="I20" s="16"/>
      <c r="J20" s="16"/>
      <c r="K20" s="16"/>
      <c r="L20" s="16"/>
      <c r="M20" s="16"/>
    </row>
    <row r="21" customFormat="false" ht="15" hidden="false" customHeight="true" outlineLevel="0" collapsed="false">
      <c r="A21" s="16"/>
      <c r="B21" s="130" t="str">
        <f aca="false">'Base Criciúma'!B8</f>
        <v>APS BRAÇO DO NORTE</v>
      </c>
      <c r="C21" s="284" t="n">
        <f aca="false">VLOOKUP(B21,Unidades!$D$5:$G$32,4,)</f>
        <v>0.04</v>
      </c>
      <c r="D21" s="285" t="n">
        <f aca="false">'Base Criciúma'!AD8*12+'Base Criciúma'!AE8*4+'Base Criciúma'!AF8*2+'Base Criciúma'!AG8</f>
        <v>9465.38881357568</v>
      </c>
      <c r="E21" s="285" t="n">
        <f aca="false">'Base Criciúma'!AK8*12+'Base Criciúma'!AL8*4+'Base Criciúma'!AM8*2+'Base Criciúma'!AN8</f>
        <v>11819.4310115119</v>
      </c>
      <c r="G21" s="29"/>
      <c r="H21" s="29"/>
      <c r="I21" s="29"/>
      <c r="J21" s="29"/>
      <c r="K21" s="29"/>
      <c r="L21" s="29"/>
      <c r="M21" s="29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  <c r="AEG21" s="16"/>
      <c r="AEH21" s="16"/>
      <c r="AEI21" s="16"/>
      <c r="AEJ21" s="16"/>
      <c r="AEK21" s="16"/>
      <c r="AEL21" s="16"/>
      <c r="AEM21" s="16"/>
      <c r="AEN21" s="16"/>
      <c r="AEO21" s="16"/>
      <c r="AEP21" s="16"/>
      <c r="AEQ21" s="16"/>
      <c r="AER21" s="16"/>
      <c r="AES21" s="16"/>
      <c r="AET21" s="16"/>
      <c r="AEU21" s="16"/>
      <c r="AEV21" s="16"/>
      <c r="AEW21" s="16"/>
      <c r="AEX21" s="16"/>
      <c r="AEY21" s="16"/>
      <c r="AEZ21" s="16"/>
      <c r="AFA21" s="16"/>
      <c r="AFB21" s="16"/>
      <c r="AFC21" s="16"/>
      <c r="AFD21" s="16"/>
      <c r="AFE21" s="16"/>
      <c r="AFF21" s="16"/>
      <c r="AFG21" s="16"/>
      <c r="AFH21" s="16"/>
      <c r="AFI21" s="16"/>
      <c r="AFJ21" s="16"/>
      <c r="AFK21" s="16"/>
      <c r="AFL21" s="16"/>
      <c r="AFM21" s="16"/>
      <c r="AFN21" s="16"/>
      <c r="AFO21" s="16"/>
      <c r="AFP21" s="16"/>
      <c r="AFQ21" s="16"/>
      <c r="AFR21" s="16"/>
      <c r="AFS21" s="16"/>
      <c r="AFT21" s="16"/>
      <c r="AFU21" s="16"/>
      <c r="AFV21" s="16"/>
      <c r="AFW21" s="16"/>
      <c r="AFX21" s="16"/>
      <c r="AFY21" s="16"/>
      <c r="AFZ21" s="16"/>
      <c r="AGA21" s="16"/>
      <c r="AGB21" s="16"/>
      <c r="AGC21" s="16"/>
      <c r="AGD21" s="16"/>
      <c r="AGE21" s="16"/>
      <c r="AGF21" s="16"/>
      <c r="AGG21" s="16"/>
      <c r="AGH21" s="16"/>
      <c r="AGI21" s="16"/>
      <c r="AGJ21" s="16"/>
      <c r="AGK21" s="16"/>
      <c r="AGL21" s="16"/>
      <c r="AGM21" s="16"/>
      <c r="AGN21" s="16"/>
      <c r="AGO21" s="16"/>
      <c r="AGP21" s="16"/>
      <c r="AGQ21" s="16"/>
      <c r="AGR21" s="16"/>
      <c r="AGS21" s="16"/>
      <c r="AGT21" s="16"/>
      <c r="AGU21" s="16"/>
      <c r="AGV21" s="16"/>
      <c r="AGW21" s="16"/>
      <c r="AGX21" s="16"/>
      <c r="AGY21" s="16"/>
      <c r="AGZ21" s="16"/>
      <c r="AHA21" s="16"/>
      <c r="AHB21" s="16"/>
      <c r="AHC21" s="16"/>
      <c r="AHD21" s="16"/>
      <c r="AHE21" s="16"/>
      <c r="AHF21" s="16"/>
      <c r="AHG21" s="16"/>
      <c r="AHH21" s="16"/>
      <c r="AHI21" s="16"/>
      <c r="AHJ21" s="16"/>
      <c r="AHK21" s="16"/>
      <c r="AHL21" s="16"/>
      <c r="AHM21" s="16"/>
      <c r="AHN21" s="16"/>
      <c r="AHO21" s="16"/>
      <c r="AHP21" s="16"/>
      <c r="AHQ21" s="16"/>
      <c r="AHR21" s="16"/>
      <c r="AHS21" s="16"/>
      <c r="AHT21" s="16"/>
      <c r="AHU21" s="16"/>
      <c r="AHV21" s="16"/>
      <c r="AHW21" s="16"/>
      <c r="AHX21" s="16"/>
      <c r="AHY21" s="16"/>
      <c r="AHZ21" s="16"/>
      <c r="AIA21" s="16"/>
      <c r="AIB21" s="16"/>
      <c r="AIC21" s="16"/>
      <c r="AID21" s="16"/>
      <c r="AIE21" s="16"/>
      <c r="AIF21" s="16"/>
      <c r="AIG21" s="16"/>
      <c r="AIH21" s="16"/>
      <c r="AII21" s="16"/>
      <c r="AIJ21" s="16"/>
      <c r="AIK21" s="16"/>
      <c r="AIL21" s="16"/>
      <c r="AIM21" s="16"/>
      <c r="AIN21" s="16"/>
      <c r="AIO21" s="16"/>
      <c r="AIP21" s="16"/>
      <c r="AIQ21" s="16"/>
      <c r="AIR21" s="16"/>
      <c r="AIS21" s="16"/>
      <c r="AIT21" s="16"/>
      <c r="AIU21" s="16"/>
      <c r="AIV21" s="16"/>
      <c r="AIW21" s="16"/>
      <c r="AIX21" s="16"/>
      <c r="AIY21" s="16"/>
      <c r="AIZ21" s="16"/>
      <c r="AJA21" s="16"/>
      <c r="AJB21" s="16"/>
      <c r="AJC21" s="16"/>
      <c r="AJD21" s="16"/>
      <c r="AJE21" s="16"/>
      <c r="AJF21" s="16"/>
      <c r="AJG21" s="16"/>
      <c r="AJH21" s="16"/>
      <c r="AJI21" s="16"/>
      <c r="AJJ21" s="16"/>
      <c r="AJK21" s="16"/>
      <c r="AJL21" s="16"/>
      <c r="AJM21" s="16"/>
      <c r="AJN21" s="16"/>
      <c r="AJO21" s="16"/>
      <c r="AJP21" s="16"/>
      <c r="AJQ21" s="16"/>
      <c r="AJR21" s="16"/>
      <c r="AJS21" s="16"/>
      <c r="AJT21" s="16"/>
      <c r="AJU21" s="16"/>
      <c r="AJV21" s="16"/>
      <c r="AJW21" s="16"/>
      <c r="AJX21" s="16"/>
      <c r="AJY21" s="16"/>
      <c r="AJZ21" s="16"/>
      <c r="AKA21" s="16"/>
      <c r="AKB21" s="16"/>
      <c r="AKC21" s="16"/>
      <c r="AKD21" s="16"/>
      <c r="AKE21" s="16"/>
      <c r="AKF21" s="16"/>
      <c r="AKG21" s="16"/>
      <c r="AKH21" s="16"/>
      <c r="AKI21" s="16"/>
      <c r="AKJ21" s="16"/>
      <c r="AKK21" s="16"/>
      <c r="AKL21" s="16"/>
      <c r="AKM21" s="16"/>
      <c r="AKN21" s="16"/>
      <c r="AKO21" s="16"/>
      <c r="AKP21" s="16"/>
      <c r="AKQ21" s="16"/>
      <c r="AKR21" s="16"/>
      <c r="AKS21" s="16"/>
      <c r="AKT21" s="16"/>
      <c r="AKU21" s="16"/>
      <c r="AKV21" s="16"/>
      <c r="AKW21" s="16"/>
      <c r="AKX21" s="16"/>
      <c r="AKY21" s="16"/>
      <c r="AKZ21" s="16"/>
      <c r="ALA21" s="16"/>
      <c r="ALB21" s="16"/>
      <c r="ALC21" s="16"/>
      <c r="ALD21" s="16"/>
      <c r="ALE21" s="16"/>
      <c r="ALF21" s="16"/>
      <c r="ALG21" s="16"/>
      <c r="ALH21" s="16"/>
      <c r="ALI21" s="16"/>
      <c r="ALJ21" s="16"/>
      <c r="ALK21" s="16"/>
      <c r="ALL21" s="16"/>
      <c r="ALM21" s="16"/>
      <c r="ALN21" s="16"/>
      <c r="ALO21" s="16"/>
      <c r="ALP21" s="16"/>
      <c r="ALQ21" s="16"/>
      <c r="ALR21" s="16"/>
      <c r="ALS21" s="16"/>
      <c r="ALT21" s="16"/>
      <c r="ALU21" s="16"/>
      <c r="ALV21" s="16"/>
      <c r="ALW21" s="16"/>
      <c r="ALX21" s="16"/>
      <c r="ALY21" s="16"/>
      <c r="ALZ21" s="16"/>
      <c r="AMA21" s="16"/>
      <c r="AMB21" s="16"/>
      <c r="AMC21" s="16"/>
      <c r="AMD21" s="16"/>
    </row>
    <row r="22" customFormat="false" ht="15" hidden="false" customHeight="true" outlineLevel="0" collapsed="false">
      <c r="B22" s="130" t="str">
        <f aca="false">'Base Criciúma'!B9</f>
        <v>APS CAPIVARI DE BAIXO</v>
      </c>
      <c r="C22" s="284" t="n">
        <f aca="false">VLOOKUP(B22,Unidades!$D$5:$G$32,4,)</f>
        <v>0.03</v>
      </c>
      <c r="D22" s="285" t="n">
        <f aca="false">'Base Criciúma'!AD9*12+'Base Criciúma'!AE9*4+'Base Criciúma'!AF9*2+'Base Criciúma'!AG9</f>
        <v>8109.1475954165</v>
      </c>
      <c r="E22" s="285" t="n">
        <f aca="false">'Base Criciúma'!AK9*12+'Base Criciúma'!AL9*4+'Base Criciúma'!AM9*2+'Base Criciúma'!AN9</f>
        <v>10018.0409393775</v>
      </c>
    </row>
    <row r="23" customFormat="false" ht="15" hidden="false" customHeight="true" outlineLevel="0" collapsed="false">
      <c r="B23" s="130" t="str">
        <f aca="false">'Base Criciúma'!B10</f>
        <v>APS FORQUILHINHA</v>
      </c>
      <c r="C23" s="284" t="n">
        <f aca="false">VLOOKUP(B23,Unidades!$D$5:$G$32,4,)</f>
        <v>0.04</v>
      </c>
      <c r="D23" s="285" t="n">
        <f aca="false">'Base Criciúma'!AD10*12+'Base Criciúma'!AE10*4+'Base Criciúma'!AF10*2+'Base Criciúma'!AG10</f>
        <v>7496.14242874983</v>
      </c>
      <c r="E23" s="285" t="n">
        <f aca="false">'Base Criciúma'!AK10*12+'Base Criciúma'!AL10*4+'Base Criciúma'!AM10*2+'Base Criciúma'!AN10</f>
        <v>9360.43305077991</v>
      </c>
    </row>
    <row r="24" customFormat="false" ht="15" hidden="false" customHeight="true" outlineLevel="0" collapsed="false">
      <c r="B24" s="130" t="str">
        <f aca="false">'Base Criciúma'!B11</f>
        <v>APS IÇARA</v>
      </c>
      <c r="C24" s="284" t="n">
        <f aca="false">VLOOKUP(B24,Unidades!$D$5:$G$32,4,)</f>
        <v>0.05</v>
      </c>
      <c r="D24" s="285" t="n">
        <f aca="false">'Base Criciúma'!AD11*12+'Base Criciúma'!AE11*4+'Base Criciúma'!AF11*2+'Base Criciúma'!AG11</f>
        <v>7496.14242874983</v>
      </c>
      <c r="E24" s="285" t="n">
        <f aca="false">'Base Criciúma'!AK11*12+'Base Criciúma'!AL11*4+'Base Criciúma'!AM11*2+'Base Criciúma'!AN11</f>
        <v>9463.13020205378</v>
      </c>
    </row>
    <row r="25" customFormat="false" ht="15" hidden="false" customHeight="true" outlineLevel="0" collapsed="false">
      <c r="B25" s="130" t="str">
        <f aca="false">'Base Criciúma'!B12</f>
        <v>APS LAGUNA</v>
      </c>
      <c r="C25" s="284" t="n">
        <f aca="false">VLOOKUP(B25,Unidades!$D$5:$G$32,4,)</f>
        <v>0.05</v>
      </c>
      <c r="D25" s="285" t="n">
        <f aca="false">'Base Criciúma'!AD12*12+'Base Criciúma'!AE12*4+'Base Criciúma'!AF12*2+'Base Criciúma'!AG12</f>
        <v>8890.93842874983</v>
      </c>
      <c r="E25" s="285" t="n">
        <f aca="false">'Base Criciúma'!AK12*12+'Base Criciúma'!AL12*4+'Base Criciúma'!AM12*2+'Base Criciúma'!AN12</f>
        <v>11223.9206724538</v>
      </c>
    </row>
    <row r="26" customFormat="false" ht="15" hidden="false" customHeight="true" outlineLevel="0" collapsed="false">
      <c r="B26" s="130" t="str">
        <f aca="false">'Base Criciúma'!B13</f>
        <v>APS SOMBRIO</v>
      </c>
      <c r="C26" s="284" t="n">
        <f aca="false">VLOOKUP(B26,Unidades!$D$5:$G$32,4,)</f>
        <v>0.03</v>
      </c>
      <c r="D26" s="285" t="n">
        <f aca="false">'Base Criciúma'!AD13*12+'Base Criciúma'!AE13*4+'Base Criciúma'!AF13*2+'Base Criciúma'!AG13</f>
        <v>8120.34201208316</v>
      </c>
      <c r="E26" s="285" t="n">
        <f aca="false">'Base Criciúma'!AK13*12+'Base Criciúma'!AL13*4+'Base Criciúma'!AM13*2+'Base Criciúma'!AN13</f>
        <v>10031.8705217275</v>
      </c>
    </row>
    <row r="27" customFormat="false" ht="15" hidden="false" customHeight="true" outlineLevel="0" collapsed="false">
      <c r="B27" s="130" t="str">
        <f aca="false">'Base Criciúma'!B14</f>
        <v>APS TUBARÃO</v>
      </c>
      <c r="C27" s="284" t="n">
        <f aca="false">VLOOKUP(B27,Unidades!$D$5:$G$32,4,)</f>
        <v>0.02</v>
      </c>
      <c r="D27" s="285" t="n">
        <f aca="false">'Base Criciúma'!AD14*12+'Base Criciúma'!AE14*4+'Base Criciúma'!AF14*2+'Base Criciúma'!AG14</f>
        <v>11513.2522064923</v>
      </c>
      <c r="E27" s="285" t="n">
        <f aca="false">'Base Criciúma'!AK14*12+'Base Criciúma'!AL14*4+'Base Criciúma'!AM14*2+'Base Criciúma'!AN14</f>
        <v>14072.6481719955</v>
      </c>
    </row>
    <row r="28" customFormat="false" ht="15" hidden="false" customHeight="true" outlineLevel="0" collapsed="false">
      <c r="B28" s="130" t="str">
        <f aca="false">'Base Criciúma'!B15</f>
        <v>APS URUSSANGA</v>
      </c>
      <c r="C28" s="284" t="n">
        <f aca="false">VLOOKUP(B28,Unidades!$D$5:$G$32,4,)</f>
        <v>0.03</v>
      </c>
      <c r="D28" s="285" t="n">
        <f aca="false">'Base Criciúma'!AD15*12+'Base Criciúma'!AE15*4+'Base Criciúma'!AF15*2+'Base Criciúma'!AG15</f>
        <v>8336.61917874983</v>
      </c>
      <c r="E28" s="285" t="n">
        <f aca="false">'Base Criciúma'!AK15*12+'Base Criciúma'!AL15*4+'Base Criciúma'!AM15*2+'Base Criciúma'!AN15</f>
        <v>10299.0593334275</v>
      </c>
    </row>
    <row r="29" customFormat="false" ht="15" hidden="false" customHeight="true" outlineLevel="0" collapsed="false">
      <c r="B29" s="130" t="str">
        <f aca="false">'Base Criciúma'!B16</f>
        <v>CEDOCPREV CRICIÚMA</v>
      </c>
      <c r="C29" s="284" t="n">
        <f aca="false">VLOOKUP(B29,Unidades!$D$5:$G$32,4,)</f>
        <v>0.04</v>
      </c>
      <c r="D29" s="285" t="n">
        <f aca="false">'Base Criciúma'!AD16*12+'Base Criciúma'!AE16*4+'Base Criciúma'!AF16*2+'Base Criciúma'!AG16</f>
        <v>10602.1357739052</v>
      </c>
      <c r="E29" s="285" t="n">
        <f aca="false">'Base Criciúma'!AK16*12+'Base Criciúma'!AL16*4+'Base Criciúma'!AM16*2+'Base Criciúma'!AN16</f>
        <v>13238.8869408754</v>
      </c>
    </row>
    <row r="30" customFormat="false" ht="15" hidden="false" customHeight="true" outlineLevel="0" collapsed="false">
      <c r="B30" s="130" t="str">
        <f aca="false">'Base Criciúma'!B17</f>
        <v>GEX/APS CRICIÚMA</v>
      </c>
      <c r="C30" s="284" t="n">
        <f aca="false">VLOOKUP(B30,Unidades!$D$5:$G$32,4,)</f>
        <v>0.04</v>
      </c>
      <c r="D30" s="285" t="n">
        <f aca="false">'Base Criciúma'!AD17*12+'Base Criciúma'!AE17*4+'Base Criciúma'!AF17*2+'Base Criciúma'!AG17</f>
        <v>14959.2581589922</v>
      </c>
      <c r="E30" s="285" t="n">
        <f aca="false">'Base Criciúma'!AK17*12+'Base Criciúma'!AL17*4+'Base Criciúma'!AM17*2+'Base Criciúma'!AN17</f>
        <v>18679.6256631335</v>
      </c>
    </row>
    <row r="31" customFormat="false" ht="15" hidden="false" customHeight="true" outlineLevel="0" collapsed="false">
      <c r="B31" s="130" t="str">
        <f aca="false">'Base Criciúma'!B18</f>
        <v>APS IMBITUBA</v>
      </c>
      <c r="C31" s="284" t="n">
        <f aca="false">VLOOKUP(B31,Unidades!$D$5:$G$32,4,)</f>
        <v>0.05</v>
      </c>
      <c r="D31" s="285" t="n">
        <f aca="false">'Base Criciúma'!AD18*12+'Base Criciúma'!AE18*4+'Base Criciúma'!AF18*2+'Base Criciúma'!AG18</f>
        <v>8890.93842874983</v>
      </c>
      <c r="E31" s="285" t="n">
        <f aca="false">'Base Criciúma'!AK18*12+'Base Criciúma'!AL18*4+'Base Criciúma'!AM18*2+'Base Criciúma'!AN18</f>
        <v>11223.9206724538</v>
      </c>
    </row>
    <row r="32" customFormat="false" ht="15" hidden="false" customHeight="true" outlineLevel="0" collapsed="false">
      <c r="B32" s="130" t="str">
        <f aca="false">'Base Criciúma'!B19</f>
        <v>APS SÃO JOAQUIM</v>
      </c>
      <c r="C32" s="284" t="n">
        <f aca="false">VLOOKUP(B32,Unidades!$D$5:$G$32,4,)</f>
        <v>0.03</v>
      </c>
      <c r="D32" s="285" t="n">
        <f aca="false">'Base Criciúma'!AD19*12+'Base Criciúma'!AE19*4+'Base Criciúma'!AF19*2+'Base Criciúma'!AG19</f>
        <v>12857.0304287498</v>
      </c>
      <c r="E32" s="285" t="n">
        <f aca="false">'Base Criciúma'!AK19*12+'Base Criciúma'!AL19*4+'Base Criciúma'!AM19*2+'Base Criciúma'!AN19</f>
        <v>15883.5753916775</v>
      </c>
    </row>
    <row r="33" customFormat="false" ht="15" hidden="false" customHeight="false" outlineLevel="0" collapsed="false">
      <c r="B33" s="281" t="s">
        <v>102</v>
      </c>
      <c r="C33" s="281"/>
      <c r="D33" s="290" t="n">
        <f aca="false">SUM(D5:D32)</f>
        <v>305772.9565</v>
      </c>
      <c r="E33" s="290" t="n">
        <f aca="false">SUM(E5:E32)</f>
        <v>379430.197667801</v>
      </c>
    </row>
  </sheetData>
  <mergeCells count="2">
    <mergeCell ref="B2:M2"/>
    <mergeCell ref="B33:C33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1:AME44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K9" activeCellId="0" sqref="K9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9"/>
    <col collapsed="false" customWidth="true" hidden="false" outlineLevel="0" max="4" min="3" style="16" width="14.75"/>
    <col collapsed="false" customWidth="true" hidden="false" outlineLevel="0" max="5" min="5" style="16" width="15.62"/>
    <col collapsed="false" customWidth="true" hidden="false" outlineLevel="0" max="6" min="6" style="16" width="13.76"/>
    <col collapsed="false" customWidth="true" hidden="false" outlineLevel="0" max="7" min="7" style="16" width="14.87"/>
    <col collapsed="false" customWidth="true" hidden="false" outlineLevel="0" max="8" min="8" style="16" width="14.38"/>
    <col collapsed="false" customWidth="true" hidden="false" outlineLevel="0" max="9" min="9" style="17" width="14"/>
    <col collapsed="false" customWidth="true" hidden="false" outlineLevel="0" max="10" min="10" style="16" width="14.87"/>
    <col collapsed="false" customWidth="true" hidden="false" outlineLevel="0" max="249" min="11" style="16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"PLANILHA RESUMO "&amp;'Valor da Contratação'!B7&amp;""</f>
        <v>PLANILHA RESUMO POLO V</v>
      </c>
      <c r="C2" s="18"/>
      <c r="D2" s="18"/>
      <c r="E2" s="18"/>
      <c r="F2" s="18"/>
      <c r="G2" s="18"/>
      <c r="H2" s="18"/>
      <c r="I2" s="18"/>
      <c r="J2" s="19"/>
    </row>
    <row r="3" customFormat="false" ht="15" hidden="false" customHeight="true" outlineLevel="0" collapsed="false">
      <c r="B3" s="2"/>
      <c r="H3" s="2"/>
      <c r="I3" s="20"/>
    </row>
    <row r="4" customFormat="false" ht="46.5" hidden="false" customHeight="true" outlineLevel="0" collapsed="false">
      <c r="B4" s="21" t="s">
        <v>13</v>
      </c>
      <c r="C4" s="21" t="s">
        <v>14</v>
      </c>
      <c r="D4" s="21" t="s">
        <v>15</v>
      </c>
      <c r="E4" s="21" t="s">
        <v>16</v>
      </c>
      <c r="F4" s="21" t="s">
        <v>17</v>
      </c>
      <c r="G4" s="21" t="s">
        <v>18</v>
      </c>
      <c r="H4" s="21" t="s">
        <v>19</v>
      </c>
      <c r="I4" s="21" t="s">
        <v>20</v>
      </c>
    </row>
    <row r="5" customFormat="false" ht="19.5" hidden="false" customHeight="true" outlineLevel="0" collapsed="false">
      <c r="B5" s="22" t="s">
        <v>21</v>
      </c>
      <c r="C5" s="23" t="n">
        <f aca="false">'Base Florianópolis'!C22</f>
        <v>26372.32</v>
      </c>
      <c r="D5" s="24" t="n">
        <f aca="false">'Base Florianópolis'!AT10</f>
        <v>18176.2765393447</v>
      </c>
      <c r="E5" s="24" t="n">
        <f aca="false">D5*12</f>
        <v>218115.318472137</v>
      </c>
      <c r="F5" s="24" t="n">
        <f aca="false">'Base Florianópolis'!AT12</f>
        <v>54528.8296180342</v>
      </c>
      <c r="G5" s="24" t="n">
        <f aca="false">F5*12</f>
        <v>654345.955416411</v>
      </c>
      <c r="H5" s="24" t="n">
        <f aca="false">D5+F5</f>
        <v>72705.1061573789</v>
      </c>
      <c r="I5" s="24" t="n">
        <f aca="false">H5*12</f>
        <v>872461.273888547</v>
      </c>
    </row>
    <row r="6" customFormat="false" ht="19.5" hidden="false" customHeight="true" outlineLevel="0" collapsed="false">
      <c r="B6" s="22" t="s">
        <v>22</v>
      </c>
      <c r="C6" s="23" t="n">
        <f aca="false">'Base Criciúma'!C20</f>
        <v>14773.32</v>
      </c>
      <c r="D6" s="24" t="n">
        <f aca="false">'Base Criciúma'!AT10</f>
        <v>13442.9065996387</v>
      </c>
      <c r="E6" s="24" t="n">
        <f aca="false">D6*12</f>
        <v>161314.879195664</v>
      </c>
      <c r="F6" s="24" t="n">
        <f aca="false">'Base Criciúma'!AT12</f>
        <v>40328.7197989161</v>
      </c>
      <c r="G6" s="24" t="n">
        <f aca="false">F6*12</f>
        <v>483944.637586993</v>
      </c>
      <c r="H6" s="24" t="n">
        <f aca="false">D6+F6</f>
        <v>53771.6263985547</v>
      </c>
      <c r="I6" s="24" t="n">
        <f aca="false">H6*12</f>
        <v>645259.516782657</v>
      </c>
    </row>
    <row r="7" customFormat="false" ht="19.5" hidden="false" customHeight="true" outlineLevel="0" collapsed="false">
      <c r="B7" s="25" t="str">
        <f aca="false">"TOTAL "&amp;'Valor da Contratação'!B7&amp;""</f>
        <v>TOTAL POLO V</v>
      </c>
      <c r="C7" s="26" t="n">
        <f aca="false">SUM(C5:C6)</f>
        <v>41145.64</v>
      </c>
      <c r="D7" s="27" t="n">
        <f aca="false">SUM(D5:D6)</f>
        <v>31619.1831389834</v>
      </c>
      <c r="E7" s="27" t="n">
        <f aca="false">SUM(E5:E6)</f>
        <v>379430.197667801</v>
      </c>
      <c r="F7" s="27" t="n">
        <f aca="false">SUM(F5:F6)</f>
        <v>94857.5494169503</v>
      </c>
      <c r="G7" s="27" t="n">
        <f aca="false">SUM(G5:G6)</f>
        <v>1138290.5930034</v>
      </c>
      <c r="H7" s="27" t="n">
        <f aca="false">SUM(H5:H6)</f>
        <v>126476.732555934</v>
      </c>
      <c r="I7" s="27" t="n">
        <f aca="false">SUM(I5:I6)</f>
        <v>1517720.7906712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28"/>
      <c r="H8" s="2"/>
      <c r="I8" s="20"/>
    </row>
    <row r="9" s="29" customFormat="true" ht="27" hidden="false" customHeight="true" outlineLevel="0" collapsed="false">
      <c r="B9" s="30" t="str">
        <f aca="false">"BASE "&amp;B5</f>
        <v>BASE FLORIANÓPOLIS</v>
      </c>
      <c r="C9" s="31" t="s">
        <v>23</v>
      </c>
      <c r="D9" s="31"/>
      <c r="E9" s="31"/>
      <c r="F9" s="31" t="s">
        <v>24</v>
      </c>
      <c r="G9" s="31"/>
      <c r="H9" s="31"/>
      <c r="I9" s="32" t="s">
        <v>25</v>
      </c>
      <c r="IP9" s="33"/>
    </row>
    <row r="10" s="29" customFormat="true" ht="22.5" hidden="false" customHeight="true" outlineLevel="0" collapsed="false">
      <c r="B10" s="30"/>
      <c r="C10" s="34" t="s">
        <v>26</v>
      </c>
      <c r="D10" s="34" t="s">
        <v>27</v>
      </c>
      <c r="E10" s="34" t="s">
        <v>28</v>
      </c>
      <c r="F10" s="35" t="s">
        <v>26</v>
      </c>
      <c r="G10" s="35" t="s">
        <v>27</v>
      </c>
      <c r="H10" s="35" t="s">
        <v>28</v>
      </c>
      <c r="I10" s="35" t="s">
        <v>29</v>
      </c>
      <c r="IP10" s="33"/>
    </row>
    <row r="11" customFormat="false" ht="16.5" hidden="false" customHeight="true" outlineLevel="0" collapsed="false">
      <c r="B11" s="22" t="str">
        <f aca="false">'Base Florianópolis'!B7</f>
        <v>APS ALFREDO WAGNER</v>
      </c>
      <c r="C11" s="24" t="n">
        <f aca="false">'Base Florianópolis'!AO7</f>
        <v>1403.68357497115</v>
      </c>
      <c r="D11" s="24" t="n">
        <f aca="false">C11*3</f>
        <v>4211.05072491344</v>
      </c>
      <c r="E11" s="24" t="n">
        <f aca="false">C11+D11</f>
        <v>5614.73429988459</v>
      </c>
      <c r="F11" s="24" t="n">
        <f aca="false">C11*12</f>
        <v>16844.2028996538</v>
      </c>
      <c r="G11" s="24" t="n">
        <f aca="false">F11*3</f>
        <v>50532.6086989613</v>
      </c>
      <c r="H11" s="24" t="n">
        <f aca="false">F11+G11</f>
        <v>67376.8115986151</v>
      </c>
      <c r="I11" s="36" t="n">
        <f aca="false">F11/$E$7</f>
        <v>0.0443934167685863</v>
      </c>
    </row>
    <row r="12" customFormat="false" ht="16.5" hidden="false" customHeight="true" outlineLevel="0" collapsed="false">
      <c r="B12" s="22" t="str">
        <f aca="false">'Base Florianópolis'!B8</f>
        <v>APS BI – FLORIANÓPOLIS</v>
      </c>
      <c r="C12" s="24" t="n">
        <f aca="false">'Base Florianópolis'!AO8</f>
        <v>1241.53306527053</v>
      </c>
      <c r="D12" s="24" t="n">
        <f aca="false">C12*3</f>
        <v>3724.59919581159</v>
      </c>
      <c r="E12" s="24" t="n">
        <f aca="false">C12+D12</f>
        <v>4966.13226108212</v>
      </c>
      <c r="F12" s="24" t="n">
        <f aca="false">C12*12</f>
        <v>14898.3967832464</v>
      </c>
      <c r="G12" s="24" t="n">
        <f aca="false">F12*3</f>
        <v>44695.190349739</v>
      </c>
      <c r="H12" s="24" t="n">
        <f aca="false">F12+G12</f>
        <v>59593.5871329854</v>
      </c>
      <c r="I12" s="36" t="n">
        <f aca="false">F12/$E$7</f>
        <v>0.0392651846764453</v>
      </c>
    </row>
    <row r="13" customFormat="false" ht="16.5" hidden="false" customHeight="true" outlineLevel="0" collapsed="false">
      <c r="B13" s="22" t="str">
        <f aca="false">'Base Florianópolis'!B9</f>
        <v>APS BIGUAÇU</v>
      </c>
      <c r="C13" s="24" t="n">
        <f aca="false">'Base Florianópolis'!AO9</f>
        <v>760.424726904482</v>
      </c>
      <c r="D13" s="24" t="n">
        <f aca="false">C13*3</f>
        <v>2281.27418071345</v>
      </c>
      <c r="E13" s="24" t="n">
        <f aca="false">C13+D13</f>
        <v>3041.69890761793</v>
      </c>
      <c r="F13" s="24" t="n">
        <f aca="false">C13*12</f>
        <v>9125.09672285378</v>
      </c>
      <c r="G13" s="24" t="n">
        <f aca="false">F13*3</f>
        <v>27375.2901685613</v>
      </c>
      <c r="H13" s="24" t="n">
        <f aca="false">F13+G13</f>
        <v>36500.3868914151</v>
      </c>
      <c r="I13" s="36" t="n">
        <f aca="false">F13/$E$7</f>
        <v>0.0240494741297397</v>
      </c>
    </row>
    <row r="14" customFormat="false" ht="16.5" hidden="false" customHeight="true" outlineLevel="0" collapsed="false">
      <c r="B14" s="22" t="str">
        <f aca="false">'Base Florianópolis'!B10</f>
        <v>APS CURITIBANOS</v>
      </c>
      <c r="C14" s="24" t="n">
        <f aca="false">'Base Florianópolis'!AO10</f>
        <v>2873.18111501521</v>
      </c>
      <c r="D14" s="24" t="n">
        <f aca="false">C14*3</f>
        <v>8619.54334504562</v>
      </c>
      <c r="E14" s="24" t="n">
        <f aca="false">C14+D14</f>
        <v>11492.7244600608</v>
      </c>
      <c r="F14" s="24" t="n">
        <f aca="false">C14*12</f>
        <v>34478.1733801825</v>
      </c>
      <c r="G14" s="24" t="n">
        <f aca="false">F14*3</f>
        <v>103434.520140547</v>
      </c>
      <c r="H14" s="24" t="n">
        <f aca="false">F14+G14</f>
        <v>137912.69352073</v>
      </c>
      <c r="I14" s="36" t="n">
        <f aca="false">F14/$E$7</f>
        <v>0.0908682903788508</v>
      </c>
    </row>
    <row r="15" customFormat="false" ht="16.5" hidden="false" customHeight="true" outlineLevel="0" collapsed="false">
      <c r="B15" s="22" t="str">
        <f aca="false">'Base Florianópolis'!B11</f>
        <v>DEPÓSITO FLORIANÓPOLIS - CONTINENTE</v>
      </c>
      <c r="C15" s="24" t="n">
        <f aca="false">'Base Florianópolis'!AO11</f>
        <v>1219.6362265497</v>
      </c>
      <c r="D15" s="24" t="n">
        <f aca="false">C15*3</f>
        <v>3658.90867964909</v>
      </c>
      <c r="E15" s="24" t="n">
        <f aca="false">C15+D15</f>
        <v>4878.54490619879</v>
      </c>
      <c r="F15" s="24" t="n">
        <f aca="false">C15*12</f>
        <v>14635.6347185964</v>
      </c>
      <c r="G15" s="24" t="n">
        <f aca="false">F15*3</f>
        <v>43906.9041557891</v>
      </c>
      <c r="H15" s="24" t="n">
        <f aca="false">F15+G15</f>
        <v>58542.5388743854</v>
      </c>
      <c r="I15" s="36" t="n">
        <f aca="false">F15/$E$7</f>
        <v>0.0385726671428776</v>
      </c>
    </row>
    <row r="16" customFormat="false" ht="16.5" hidden="false" customHeight="true" outlineLevel="0" collapsed="false">
      <c r="B16" s="22" t="str">
        <f aca="false">'Base Florianópolis'!B12</f>
        <v>APS ITAPEMA</v>
      </c>
      <c r="C16" s="24" t="n">
        <f aca="false">'Base Florianópolis'!AO12</f>
        <v>847.294941904482</v>
      </c>
      <c r="D16" s="24" t="n">
        <f aca="false">C16*3</f>
        <v>2541.88482571345</v>
      </c>
      <c r="E16" s="24" t="n">
        <f aca="false">C16+D16</f>
        <v>3389.17976761793</v>
      </c>
      <c r="F16" s="24" t="n">
        <f aca="false">C16*12</f>
        <v>10167.5393028538</v>
      </c>
      <c r="G16" s="24" t="n">
        <f aca="false">F16*3</f>
        <v>30502.6179085614</v>
      </c>
      <c r="H16" s="24" t="n">
        <f aca="false">F16+G16</f>
        <v>40670.1572114151</v>
      </c>
      <c r="I16" s="36" t="n">
        <f aca="false">F16/$E$7</f>
        <v>0.0267968637323792</v>
      </c>
    </row>
    <row r="17" customFormat="false" ht="15.75" hidden="false" customHeight="true" outlineLevel="0" collapsed="false">
      <c r="B17" s="22" t="str">
        <f aca="false">'Base Florianópolis'!B13</f>
        <v>APS LAGES</v>
      </c>
      <c r="C17" s="24" t="n">
        <f aca="false">'Base Florianópolis'!AO13</f>
        <v>1705.83213960935</v>
      </c>
      <c r="D17" s="24" t="n">
        <f aca="false">C17*3</f>
        <v>5117.49641882805</v>
      </c>
      <c r="E17" s="24" t="n">
        <f aca="false">C17+D17</f>
        <v>6823.3285584374</v>
      </c>
      <c r="F17" s="24" t="n">
        <f aca="false">C17*12</f>
        <v>20469.9856753122</v>
      </c>
      <c r="G17" s="24" t="n">
        <f aca="false">F17*3</f>
        <v>61409.9570259366</v>
      </c>
      <c r="H17" s="24" t="n">
        <f aca="false">F17+G17</f>
        <v>81879.9427012487</v>
      </c>
      <c r="I17" s="36" t="n">
        <f aca="false">F17/$E$7</f>
        <v>0.0539492792116512</v>
      </c>
    </row>
    <row r="18" customFormat="false" ht="16.5" hidden="false" customHeight="true" outlineLevel="0" collapsed="false">
      <c r="B18" s="22" t="str">
        <f aca="false">'Base Florianópolis'!B14</f>
        <v>APS PALHOÇA</v>
      </c>
      <c r="C18" s="24" t="n">
        <f aca="false">'Base Florianópolis'!AO14</f>
        <v>730.383575221743</v>
      </c>
      <c r="D18" s="24" t="n">
        <f aca="false">C18*3</f>
        <v>2191.15072566523</v>
      </c>
      <c r="E18" s="24" t="n">
        <f aca="false">C18+D18</f>
        <v>2921.53430088697</v>
      </c>
      <c r="F18" s="24" t="n">
        <f aca="false">C18*12</f>
        <v>8764.60290266092</v>
      </c>
      <c r="G18" s="24" t="n">
        <f aca="false">F18*3</f>
        <v>26293.8087079827</v>
      </c>
      <c r="H18" s="24" t="n">
        <f aca="false">F18+G18</f>
        <v>35058.4116106437</v>
      </c>
      <c r="I18" s="36" t="n">
        <f aca="false">F18/$E$7</f>
        <v>0.0230993815371925</v>
      </c>
    </row>
    <row r="19" customFormat="false" ht="16.5" hidden="false" customHeight="true" outlineLevel="0" collapsed="false">
      <c r="B19" s="22" t="str">
        <f aca="false">'Base Florianópolis'!B15</f>
        <v>APS SÃO JOSÉ</v>
      </c>
      <c r="C19" s="24" t="n">
        <f aca="false">'Base Florianópolis'!AO15</f>
        <v>718.405428437316</v>
      </c>
      <c r="D19" s="24" t="n">
        <f aca="false">C19*3</f>
        <v>2155.21628531195</v>
      </c>
      <c r="E19" s="24" t="n">
        <f aca="false">C19+D19</f>
        <v>2873.62171374926</v>
      </c>
      <c r="F19" s="24" t="n">
        <f aca="false">C19*12</f>
        <v>8620.86514124779</v>
      </c>
      <c r="G19" s="24" t="n">
        <f aca="false">F19*3</f>
        <v>25862.5954237434</v>
      </c>
      <c r="H19" s="24" t="n">
        <f aca="false">F19+G19</f>
        <v>34483.4605649912</v>
      </c>
      <c r="I19" s="36" t="n">
        <f aca="false">F19/$E$7</f>
        <v>0.022720556229411</v>
      </c>
    </row>
    <row r="20" customFormat="false" ht="16.5" hidden="false" customHeight="true" outlineLevel="0" collapsed="false">
      <c r="B20" s="22" t="str">
        <f aca="false">'Base Florianópolis'!B16</f>
        <v>APS TIJUCAS</v>
      </c>
      <c r="C20" s="24" t="n">
        <f aca="false">'Base Florianópolis'!AO16</f>
        <v>820.380709355076</v>
      </c>
      <c r="D20" s="24" t="n">
        <f aca="false">C20*3</f>
        <v>2461.14212806523</v>
      </c>
      <c r="E20" s="24" t="n">
        <f aca="false">C20+D20</f>
        <v>3281.52283742031</v>
      </c>
      <c r="F20" s="24" t="n">
        <f aca="false">C20*12</f>
        <v>9844.56851226092</v>
      </c>
      <c r="G20" s="24" t="n">
        <f aca="false">F20*3</f>
        <v>29533.7055367828</v>
      </c>
      <c r="H20" s="24" t="n">
        <f aca="false">F20+G20</f>
        <v>39378.2740490437</v>
      </c>
      <c r="I20" s="36" t="n">
        <f aca="false">F20/$E$7</f>
        <v>0.0259456642427813</v>
      </c>
    </row>
    <row r="21" customFormat="false" ht="16.5" hidden="false" customHeight="true" outlineLevel="0" collapsed="false">
      <c r="B21" s="22" t="str">
        <f aca="false">'Base Florianópolis'!B17</f>
        <v>CEDOC PALHOÇA</v>
      </c>
      <c r="C21" s="24" t="n">
        <f aca="false">'Base Florianópolis'!AO17</f>
        <v>730.383575221743</v>
      </c>
      <c r="D21" s="24" t="n">
        <f aca="false">C21*3</f>
        <v>2191.15072566523</v>
      </c>
      <c r="E21" s="24" t="n">
        <f aca="false">C21+D21</f>
        <v>2921.53430088697</v>
      </c>
      <c r="F21" s="24" t="n">
        <f aca="false">C21*12</f>
        <v>8764.60290266092</v>
      </c>
      <c r="G21" s="24" t="n">
        <f aca="false">F21*3</f>
        <v>26293.8087079827</v>
      </c>
      <c r="H21" s="24" t="n">
        <f aca="false">F21+G21</f>
        <v>35058.4116106437</v>
      </c>
      <c r="I21" s="36" t="n">
        <f aca="false">F21/$E$7</f>
        <v>0.0230993815371925</v>
      </c>
    </row>
    <row r="22" customFormat="false" ht="16.5" hidden="false" customHeight="true" outlineLevel="0" collapsed="false">
      <c r="B22" s="22" t="str">
        <f aca="false">'Base Florianópolis'!B18</f>
        <v>GALPÕES AV. MAURO RAMOS</v>
      </c>
      <c r="C22" s="24" t="n">
        <f aca="false">'Base Florianópolis'!AO18</f>
        <v>1065.80182987921</v>
      </c>
      <c r="D22" s="24" t="n">
        <f aca="false">C22*3</f>
        <v>3197.40548963764</v>
      </c>
      <c r="E22" s="24" t="n">
        <f aca="false">C22+D22</f>
        <v>4263.20731951686</v>
      </c>
      <c r="F22" s="24" t="n">
        <f aca="false">C22*12</f>
        <v>12789.6219585506</v>
      </c>
      <c r="G22" s="24" t="n">
        <f aca="false">F22*3</f>
        <v>38368.8658756517</v>
      </c>
      <c r="H22" s="24" t="n">
        <f aca="false">F22+G22</f>
        <v>51158.4878342023</v>
      </c>
      <c r="I22" s="36" t="n">
        <f aca="false">F22/$E$7</f>
        <v>0.0337074435223212</v>
      </c>
    </row>
    <row r="23" customFormat="false" ht="16.5" hidden="false" customHeight="true" outlineLevel="0" collapsed="false">
      <c r="B23" s="22" t="str">
        <f aca="false">'Base Florianópolis'!B19</f>
        <v>GEX/APS FLORIANÓPOLIS</v>
      </c>
      <c r="C23" s="24" t="n">
        <f aca="false">'Base Florianópolis'!AO19</f>
        <v>1671.99318541789</v>
      </c>
      <c r="D23" s="24" t="n">
        <f aca="false">C23*3</f>
        <v>5015.97955625368</v>
      </c>
      <c r="E23" s="24" t="n">
        <f aca="false">C23+D23</f>
        <v>6687.97274167157</v>
      </c>
      <c r="F23" s="24" t="n">
        <f aca="false">C23*12</f>
        <v>20063.9182250147</v>
      </c>
      <c r="G23" s="24" t="n">
        <f aca="false">F23*3</f>
        <v>60191.7546750441</v>
      </c>
      <c r="H23" s="24" t="n">
        <f aca="false">F23+G23</f>
        <v>80255.6729000588</v>
      </c>
      <c r="I23" s="36" t="n">
        <f aca="false">F23/$E$7</f>
        <v>0.0528790759099809</v>
      </c>
    </row>
    <row r="24" customFormat="false" ht="16.5" hidden="false" customHeight="true" outlineLevel="0" collapsed="false">
      <c r="B24" s="22" t="str">
        <f aca="false">'Base Florianópolis'!B20</f>
        <v>SALAS EMEDAUX</v>
      </c>
      <c r="C24" s="24" t="n">
        <f aca="false">'Base Florianópolis'!AO20</f>
        <v>715.349260168962</v>
      </c>
      <c r="D24" s="24" t="n">
        <f aca="false">C24*3</f>
        <v>2146.04778050689</v>
      </c>
      <c r="E24" s="24" t="n">
        <f aca="false">C24+D24</f>
        <v>2861.39704067585</v>
      </c>
      <c r="F24" s="24" t="n">
        <f aca="false">C24*12</f>
        <v>8584.19112202754</v>
      </c>
      <c r="G24" s="24" t="n">
        <f aca="false">F24*3</f>
        <v>25752.5733660826</v>
      </c>
      <c r="H24" s="24" t="n">
        <f aca="false">F24+G24</f>
        <v>34336.7644881102</v>
      </c>
      <c r="I24" s="36" t="n">
        <f aca="false">F24/$E$7</f>
        <v>0.0226239007195289</v>
      </c>
    </row>
    <row r="25" customFormat="false" ht="16.5" hidden="false" customHeight="true" outlineLevel="0" collapsed="false">
      <c r="B25" s="22" t="str">
        <f aca="false">'Base Florianópolis'!B21</f>
        <v>SEDE DA SUPERINTENDÊNCIA</v>
      </c>
      <c r="C25" s="24" t="n">
        <f aca="false">'Base Florianópolis'!AO21</f>
        <v>1671.99318541789</v>
      </c>
      <c r="D25" s="24" t="n">
        <f aca="false">C25*3</f>
        <v>5015.97955625368</v>
      </c>
      <c r="E25" s="24" t="n">
        <f aca="false">C25+D25</f>
        <v>6687.97274167157</v>
      </c>
      <c r="F25" s="24" t="n">
        <f aca="false">C25*12</f>
        <v>20063.9182250147</v>
      </c>
      <c r="G25" s="24" t="n">
        <f aca="false">F25*3</f>
        <v>60191.7546750441</v>
      </c>
      <c r="H25" s="24" t="n">
        <f aca="false">F25+G25</f>
        <v>80255.6729000588</v>
      </c>
      <c r="I25" s="36" t="n">
        <f aca="false">F25/$E$7</f>
        <v>0.0528790759099809</v>
      </c>
    </row>
    <row r="26" customFormat="false" ht="22.5" hidden="false" customHeight="true" outlineLevel="0" collapsed="false">
      <c r="B26" s="37" t="str">
        <f aca="false">"Total Base "&amp;B5</f>
        <v>Total Base FLORIANÓPOLIS</v>
      </c>
      <c r="C26" s="37" t="n">
        <f aca="false">SUM(C11:C25)</f>
        <v>18176.2765393447</v>
      </c>
      <c r="D26" s="37" t="n">
        <f aca="false">SUM(D11:D25)</f>
        <v>54528.8296180342</v>
      </c>
      <c r="E26" s="37" t="n">
        <f aca="false">SUM(E11:E25)</f>
        <v>72705.1061573789</v>
      </c>
      <c r="F26" s="37" t="n">
        <f aca="false">SUM(F11:F25)</f>
        <v>218115.318472137</v>
      </c>
      <c r="G26" s="37" t="n">
        <f aca="false">SUM(G11:G25)</f>
        <v>654345.95541641</v>
      </c>
      <c r="H26" s="37" t="n">
        <f aca="false">SUM(H11:H25)</f>
        <v>872461.273888547</v>
      </c>
      <c r="I26" s="38" t="n">
        <f aca="false">SUM(I11:I25)</f>
        <v>0.574849655648919</v>
      </c>
    </row>
    <row r="27" customFormat="false" ht="22.5" hidden="false" customHeight="true" outlineLevel="0" collapsed="false">
      <c r="B27" s="39"/>
      <c r="C27" s="39"/>
      <c r="D27" s="39"/>
      <c r="E27" s="39"/>
      <c r="F27" s="39"/>
      <c r="G27" s="39"/>
      <c r="H27" s="39"/>
      <c r="I27" s="40"/>
    </row>
    <row r="28" customFormat="false" ht="27.75" hidden="false" customHeight="true" outlineLevel="0" collapsed="false">
      <c r="A28" s="29"/>
      <c r="B28" s="30" t="str">
        <f aca="false">"BASE "&amp;B6</f>
        <v>BASE CRICIÚMA</v>
      </c>
      <c r="C28" s="31" t="s">
        <v>23</v>
      </c>
      <c r="D28" s="31"/>
      <c r="E28" s="31"/>
      <c r="F28" s="31" t="s">
        <v>24</v>
      </c>
      <c r="G28" s="31"/>
      <c r="H28" s="31"/>
      <c r="I28" s="32" t="s">
        <v>25</v>
      </c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33"/>
      <c r="IQ28" s="29"/>
      <c r="IR28" s="29"/>
      <c r="IS28" s="29"/>
      <c r="IT28" s="29"/>
      <c r="IU28" s="29"/>
      <c r="IV28" s="29"/>
      <c r="IW28" s="29"/>
      <c r="IX28" s="29"/>
      <c r="IY28" s="29"/>
      <c r="IZ28" s="29"/>
      <c r="JA28" s="29"/>
      <c r="JB28" s="29"/>
      <c r="JC28" s="29"/>
      <c r="JD28" s="29"/>
      <c r="JE28" s="29"/>
      <c r="JF28" s="29"/>
      <c r="JG28" s="29"/>
      <c r="JH28" s="29"/>
      <c r="JI28" s="29"/>
      <c r="JJ28" s="29"/>
      <c r="JK28" s="29"/>
      <c r="JL28" s="29"/>
      <c r="JM28" s="29"/>
      <c r="JN28" s="29"/>
      <c r="JO28" s="29"/>
      <c r="JP28" s="29"/>
      <c r="JQ28" s="29"/>
      <c r="JR28" s="29"/>
      <c r="JS28" s="29"/>
      <c r="JT28" s="29"/>
      <c r="JU28" s="29"/>
      <c r="JV28" s="29"/>
      <c r="JW28" s="29"/>
      <c r="JX28" s="29"/>
      <c r="JY28" s="29"/>
      <c r="JZ28" s="29"/>
      <c r="KA28" s="29"/>
      <c r="KB28" s="29"/>
      <c r="KC28" s="29"/>
      <c r="KD28" s="29"/>
      <c r="KE28" s="29"/>
      <c r="KF28" s="29"/>
      <c r="KG28" s="29"/>
      <c r="KH28" s="29"/>
      <c r="KI28" s="29"/>
      <c r="KJ28" s="29"/>
      <c r="KK28" s="29"/>
      <c r="KL28" s="29"/>
      <c r="KM28" s="29"/>
      <c r="KN28" s="29"/>
      <c r="KO28" s="29"/>
      <c r="KP28" s="29"/>
      <c r="KQ28" s="29"/>
      <c r="KR28" s="29"/>
      <c r="KS28" s="29"/>
      <c r="KT28" s="29"/>
      <c r="KU28" s="29"/>
      <c r="KV28" s="29"/>
      <c r="KW28" s="29"/>
      <c r="KX28" s="29"/>
      <c r="KY28" s="29"/>
      <c r="KZ28" s="29"/>
      <c r="LA28" s="29"/>
      <c r="LB28" s="29"/>
      <c r="LC28" s="29"/>
      <c r="LD28" s="29"/>
      <c r="LE28" s="29"/>
      <c r="LF28" s="29"/>
      <c r="LG28" s="29"/>
      <c r="LH28" s="29"/>
      <c r="LI28" s="29"/>
      <c r="LJ28" s="29"/>
      <c r="LK28" s="29"/>
      <c r="LL28" s="29"/>
      <c r="LM28" s="29"/>
      <c r="LN28" s="29"/>
      <c r="LO28" s="29"/>
      <c r="LP28" s="29"/>
      <c r="LQ28" s="29"/>
      <c r="LR28" s="29"/>
      <c r="LS28" s="29"/>
      <c r="LT28" s="29"/>
      <c r="LU28" s="29"/>
      <c r="LV28" s="29"/>
      <c r="LW28" s="29"/>
      <c r="LX28" s="29"/>
      <c r="LY28" s="29"/>
      <c r="LZ28" s="29"/>
      <c r="MA28" s="29"/>
      <c r="MB28" s="29"/>
      <c r="MC28" s="29"/>
      <c r="MD28" s="29"/>
      <c r="ME28" s="29"/>
      <c r="MF28" s="29"/>
      <c r="MG28" s="29"/>
      <c r="MH28" s="29"/>
      <c r="MI28" s="29"/>
      <c r="MJ28" s="29"/>
      <c r="MK28" s="29"/>
      <c r="ML28" s="29"/>
      <c r="MM28" s="29"/>
      <c r="MN28" s="29"/>
      <c r="MO28" s="29"/>
      <c r="MP28" s="29"/>
      <c r="MQ28" s="29"/>
      <c r="MR28" s="29"/>
      <c r="MS28" s="29"/>
      <c r="MT28" s="29"/>
      <c r="MU28" s="29"/>
      <c r="MV28" s="29"/>
      <c r="MW28" s="29"/>
      <c r="MX28" s="29"/>
      <c r="MY28" s="29"/>
      <c r="MZ28" s="29"/>
      <c r="NA28" s="29"/>
      <c r="NB28" s="29"/>
      <c r="NC28" s="29"/>
      <c r="ND28" s="29"/>
      <c r="NE28" s="29"/>
      <c r="NF28" s="29"/>
      <c r="NG28" s="29"/>
      <c r="NH28" s="29"/>
      <c r="NI28" s="29"/>
      <c r="NJ28" s="29"/>
      <c r="NK28" s="29"/>
      <c r="NL28" s="29"/>
      <c r="NM28" s="29"/>
      <c r="NN28" s="29"/>
      <c r="NO28" s="29"/>
      <c r="NP28" s="29"/>
      <c r="NQ28" s="29"/>
      <c r="NR28" s="29"/>
      <c r="NS28" s="29"/>
      <c r="NT28" s="29"/>
      <c r="NU28" s="29"/>
      <c r="NV28" s="29"/>
      <c r="NW28" s="29"/>
      <c r="NX28" s="29"/>
      <c r="NY28" s="29"/>
      <c r="NZ28" s="29"/>
      <c r="OA28" s="29"/>
      <c r="OB28" s="29"/>
      <c r="OC28" s="29"/>
      <c r="OD28" s="29"/>
      <c r="OE28" s="29"/>
      <c r="OF28" s="29"/>
      <c r="OG28" s="29"/>
      <c r="OH28" s="29"/>
      <c r="OI28" s="29"/>
      <c r="OJ28" s="29"/>
      <c r="OK28" s="29"/>
      <c r="OL28" s="29"/>
      <c r="OM28" s="29"/>
      <c r="ON28" s="29"/>
      <c r="OO28" s="29"/>
      <c r="OP28" s="29"/>
      <c r="OQ28" s="29"/>
      <c r="OR28" s="29"/>
      <c r="OS28" s="29"/>
      <c r="OT28" s="29"/>
      <c r="OU28" s="29"/>
      <c r="OV28" s="29"/>
      <c r="OW28" s="29"/>
      <c r="OX28" s="29"/>
      <c r="OY28" s="29"/>
      <c r="OZ28" s="29"/>
      <c r="PA28" s="29"/>
      <c r="PB28" s="29"/>
      <c r="PC28" s="29"/>
      <c r="PD28" s="29"/>
      <c r="PE28" s="29"/>
      <c r="PF28" s="29"/>
      <c r="PG28" s="29"/>
      <c r="PH28" s="29"/>
      <c r="PI28" s="29"/>
      <c r="PJ28" s="29"/>
      <c r="PK28" s="29"/>
      <c r="PL28" s="29"/>
      <c r="PM28" s="29"/>
      <c r="PN28" s="29"/>
      <c r="PO28" s="29"/>
      <c r="PP28" s="29"/>
      <c r="PQ28" s="29"/>
      <c r="PR28" s="29"/>
      <c r="PS28" s="29"/>
      <c r="PT28" s="29"/>
      <c r="PU28" s="29"/>
      <c r="PV28" s="29"/>
      <c r="PW28" s="29"/>
      <c r="PX28" s="29"/>
      <c r="PY28" s="29"/>
      <c r="PZ28" s="29"/>
      <c r="QA28" s="29"/>
      <c r="QB28" s="29"/>
      <c r="QC28" s="29"/>
      <c r="QD28" s="29"/>
      <c r="QE28" s="29"/>
      <c r="QF28" s="29"/>
      <c r="QG28" s="29"/>
      <c r="QH28" s="29"/>
      <c r="QI28" s="29"/>
      <c r="QJ28" s="29"/>
      <c r="QK28" s="29"/>
      <c r="QL28" s="29"/>
      <c r="QM28" s="29"/>
      <c r="QN28" s="29"/>
      <c r="QO28" s="29"/>
      <c r="QP28" s="29"/>
      <c r="QQ28" s="29"/>
      <c r="QR28" s="29"/>
      <c r="QS28" s="29"/>
      <c r="QT28" s="29"/>
      <c r="QU28" s="29"/>
      <c r="QV28" s="29"/>
      <c r="QW28" s="29"/>
      <c r="QX28" s="29"/>
      <c r="QY28" s="29"/>
      <c r="QZ28" s="29"/>
      <c r="RA28" s="29"/>
      <c r="RB28" s="29"/>
      <c r="RC28" s="29"/>
      <c r="RD28" s="29"/>
      <c r="RE28" s="29"/>
      <c r="RF28" s="29"/>
      <c r="RG28" s="29"/>
      <c r="RH28" s="29"/>
      <c r="RI28" s="29"/>
      <c r="RJ28" s="29"/>
      <c r="RK28" s="29"/>
      <c r="RL28" s="29"/>
      <c r="RM28" s="29"/>
      <c r="RN28" s="29"/>
      <c r="RO28" s="29"/>
      <c r="RP28" s="29"/>
      <c r="RQ28" s="29"/>
      <c r="RR28" s="29"/>
      <c r="RS28" s="29"/>
      <c r="RT28" s="29"/>
      <c r="RU28" s="29"/>
      <c r="RV28" s="29"/>
      <c r="RW28" s="29"/>
      <c r="RX28" s="29"/>
      <c r="RY28" s="29"/>
      <c r="RZ28" s="29"/>
      <c r="SA28" s="29"/>
      <c r="SB28" s="29"/>
      <c r="SC28" s="29"/>
      <c r="SD28" s="29"/>
      <c r="SE28" s="29"/>
      <c r="SF28" s="29"/>
      <c r="SG28" s="29"/>
      <c r="SH28" s="29"/>
      <c r="SI28" s="29"/>
      <c r="SJ28" s="29"/>
      <c r="SK28" s="29"/>
      <c r="SL28" s="29"/>
      <c r="SM28" s="29"/>
      <c r="SN28" s="29"/>
      <c r="SO28" s="29"/>
      <c r="SP28" s="29"/>
      <c r="SQ28" s="29"/>
      <c r="SR28" s="29"/>
      <c r="SS28" s="29"/>
      <c r="ST28" s="29"/>
      <c r="SU28" s="29"/>
      <c r="SV28" s="29"/>
      <c r="SW28" s="29"/>
      <c r="SX28" s="29"/>
      <c r="SY28" s="29"/>
      <c r="SZ28" s="29"/>
      <c r="TA28" s="29"/>
      <c r="TB28" s="29"/>
      <c r="TC28" s="29"/>
      <c r="TD28" s="29"/>
      <c r="TE28" s="29"/>
      <c r="TF28" s="29"/>
      <c r="TG28" s="29"/>
      <c r="TH28" s="29"/>
      <c r="TI28" s="29"/>
      <c r="TJ28" s="29"/>
      <c r="TK28" s="29"/>
      <c r="TL28" s="29"/>
      <c r="TM28" s="29"/>
      <c r="TN28" s="29"/>
      <c r="TO28" s="29"/>
      <c r="TP28" s="29"/>
      <c r="TQ28" s="29"/>
      <c r="TR28" s="29"/>
      <c r="TS28" s="29"/>
      <c r="TT28" s="29"/>
      <c r="TU28" s="29"/>
      <c r="TV28" s="29"/>
      <c r="TW28" s="29"/>
      <c r="TX28" s="29"/>
      <c r="TY28" s="29"/>
      <c r="TZ28" s="29"/>
      <c r="UA28" s="29"/>
      <c r="UB28" s="29"/>
      <c r="UC28" s="29"/>
      <c r="UD28" s="29"/>
      <c r="UE28" s="29"/>
      <c r="UF28" s="29"/>
      <c r="UG28" s="29"/>
      <c r="UH28" s="29"/>
      <c r="UI28" s="29"/>
      <c r="UJ28" s="29"/>
      <c r="UK28" s="29"/>
      <c r="UL28" s="29"/>
      <c r="UM28" s="29"/>
      <c r="UN28" s="29"/>
      <c r="UO28" s="29"/>
      <c r="UP28" s="29"/>
      <c r="UQ28" s="29"/>
      <c r="UR28" s="29"/>
      <c r="US28" s="29"/>
      <c r="UT28" s="29"/>
      <c r="UU28" s="29"/>
      <c r="UV28" s="29"/>
      <c r="UW28" s="29"/>
      <c r="UX28" s="29"/>
      <c r="UY28" s="29"/>
      <c r="UZ28" s="29"/>
      <c r="VA28" s="29"/>
      <c r="VB28" s="29"/>
      <c r="VC28" s="29"/>
      <c r="VD28" s="29"/>
      <c r="VE28" s="29"/>
      <c r="VF28" s="29"/>
      <c r="VG28" s="29"/>
      <c r="VH28" s="29"/>
      <c r="VI28" s="29"/>
      <c r="VJ28" s="29"/>
      <c r="VK28" s="29"/>
      <c r="VL28" s="29"/>
      <c r="VM28" s="29"/>
      <c r="VN28" s="29"/>
      <c r="VO28" s="29"/>
      <c r="VP28" s="29"/>
      <c r="VQ28" s="29"/>
      <c r="VR28" s="29"/>
      <c r="VS28" s="29"/>
      <c r="VT28" s="29"/>
      <c r="VU28" s="29"/>
      <c r="VV28" s="29"/>
      <c r="VW28" s="29"/>
      <c r="VX28" s="29"/>
      <c r="VY28" s="29"/>
      <c r="VZ28" s="29"/>
      <c r="WA28" s="29"/>
      <c r="WB28" s="29"/>
      <c r="WC28" s="29"/>
      <c r="WD28" s="29"/>
      <c r="WE28" s="29"/>
      <c r="WF28" s="29"/>
      <c r="WG28" s="29"/>
      <c r="WH28" s="29"/>
      <c r="WI28" s="29"/>
      <c r="WJ28" s="29"/>
      <c r="WK28" s="29"/>
      <c r="WL28" s="29"/>
      <c r="WM28" s="29"/>
      <c r="WN28" s="29"/>
      <c r="WO28" s="29"/>
      <c r="WP28" s="29"/>
      <c r="WQ28" s="29"/>
      <c r="WR28" s="29"/>
      <c r="WS28" s="29"/>
      <c r="WT28" s="29"/>
      <c r="WU28" s="29"/>
      <c r="WV28" s="29"/>
      <c r="WW28" s="29"/>
      <c r="WX28" s="29"/>
      <c r="WY28" s="29"/>
      <c r="WZ28" s="29"/>
      <c r="XA28" s="29"/>
      <c r="XB28" s="29"/>
      <c r="XC28" s="29"/>
      <c r="XD28" s="29"/>
      <c r="XE28" s="29"/>
      <c r="XF28" s="29"/>
      <c r="XG28" s="29"/>
      <c r="XH28" s="29"/>
      <c r="XI28" s="29"/>
      <c r="XJ28" s="29"/>
      <c r="XK28" s="29"/>
      <c r="XL28" s="29"/>
      <c r="XM28" s="29"/>
      <c r="XN28" s="29"/>
      <c r="XO28" s="29"/>
      <c r="XP28" s="29"/>
      <c r="XQ28" s="29"/>
      <c r="XR28" s="29"/>
      <c r="XS28" s="29"/>
      <c r="XT28" s="29"/>
      <c r="XU28" s="29"/>
      <c r="XV28" s="29"/>
      <c r="XW28" s="29"/>
      <c r="XX28" s="29"/>
      <c r="XY28" s="29"/>
      <c r="XZ28" s="29"/>
      <c r="YA28" s="29"/>
      <c r="YB28" s="29"/>
      <c r="YC28" s="29"/>
      <c r="YD28" s="29"/>
      <c r="YE28" s="29"/>
      <c r="YF28" s="29"/>
      <c r="YG28" s="29"/>
      <c r="YH28" s="29"/>
      <c r="YI28" s="29"/>
      <c r="YJ28" s="29"/>
      <c r="YK28" s="29"/>
      <c r="YL28" s="29"/>
      <c r="YM28" s="29"/>
      <c r="YN28" s="29"/>
      <c r="YO28" s="29"/>
      <c r="YP28" s="29"/>
      <c r="YQ28" s="29"/>
      <c r="YR28" s="29"/>
      <c r="YS28" s="29"/>
      <c r="YT28" s="29"/>
      <c r="YU28" s="29"/>
      <c r="YV28" s="29"/>
      <c r="YW28" s="29"/>
      <c r="YX28" s="29"/>
      <c r="YY28" s="29"/>
      <c r="YZ28" s="29"/>
      <c r="ZA28" s="29"/>
      <c r="ZB28" s="29"/>
      <c r="ZC28" s="29"/>
      <c r="ZD28" s="29"/>
      <c r="ZE28" s="29"/>
      <c r="ZF28" s="29"/>
      <c r="ZG28" s="29"/>
      <c r="ZH28" s="29"/>
      <c r="ZI28" s="29"/>
      <c r="ZJ28" s="29"/>
      <c r="ZK28" s="29"/>
      <c r="ZL28" s="29"/>
      <c r="ZM28" s="29"/>
      <c r="ZN28" s="29"/>
      <c r="ZO28" s="29"/>
      <c r="ZP28" s="29"/>
      <c r="ZQ28" s="29"/>
      <c r="ZR28" s="29"/>
      <c r="ZS28" s="29"/>
      <c r="ZT28" s="29"/>
      <c r="ZU28" s="29"/>
      <c r="ZV28" s="29"/>
      <c r="ZW28" s="29"/>
      <c r="ZX28" s="29"/>
      <c r="ZY28" s="29"/>
      <c r="ZZ28" s="29"/>
      <c r="AAA28" s="29"/>
      <c r="AAB28" s="29"/>
      <c r="AAC28" s="29"/>
      <c r="AAD28" s="29"/>
      <c r="AAE28" s="29"/>
      <c r="AAF28" s="29"/>
      <c r="AAG28" s="29"/>
      <c r="AAH28" s="29"/>
      <c r="AAI28" s="29"/>
      <c r="AAJ28" s="29"/>
      <c r="AAK28" s="29"/>
      <c r="AAL28" s="29"/>
      <c r="AAM28" s="29"/>
      <c r="AAN28" s="29"/>
      <c r="AAO28" s="29"/>
      <c r="AAP28" s="29"/>
      <c r="AAQ28" s="29"/>
      <c r="AAR28" s="29"/>
      <c r="AAS28" s="29"/>
      <c r="AAT28" s="29"/>
      <c r="AAU28" s="29"/>
      <c r="AAV28" s="29"/>
      <c r="AAW28" s="29"/>
      <c r="AAX28" s="29"/>
      <c r="AAY28" s="29"/>
      <c r="AAZ28" s="29"/>
      <c r="ABA28" s="29"/>
      <c r="ABB28" s="29"/>
      <c r="ABC28" s="29"/>
      <c r="ABD28" s="29"/>
      <c r="ABE28" s="29"/>
      <c r="ABF28" s="29"/>
      <c r="ABG28" s="29"/>
      <c r="ABH28" s="29"/>
      <c r="ABI28" s="29"/>
      <c r="ABJ28" s="29"/>
      <c r="ABK28" s="29"/>
      <c r="ABL28" s="29"/>
      <c r="ABM28" s="29"/>
      <c r="ABN28" s="29"/>
      <c r="ABO28" s="29"/>
      <c r="ABP28" s="29"/>
      <c r="ABQ28" s="29"/>
      <c r="ABR28" s="29"/>
      <c r="ABS28" s="29"/>
      <c r="ABT28" s="29"/>
      <c r="ABU28" s="29"/>
      <c r="ABV28" s="29"/>
      <c r="ABW28" s="29"/>
      <c r="ABX28" s="29"/>
      <c r="ABY28" s="29"/>
      <c r="ABZ28" s="29"/>
      <c r="ACA28" s="29"/>
      <c r="ACB28" s="29"/>
      <c r="ACC28" s="29"/>
      <c r="ACD28" s="29"/>
      <c r="ACE28" s="29"/>
      <c r="ACF28" s="29"/>
      <c r="ACG28" s="29"/>
      <c r="ACH28" s="29"/>
      <c r="ACI28" s="29"/>
      <c r="ACJ28" s="29"/>
      <c r="ACK28" s="29"/>
      <c r="ACL28" s="29"/>
      <c r="ACM28" s="29"/>
      <c r="ACN28" s="29"/>
      <c r="ACO28" s="29"/>
      <c r="ACP28" s="29"/>
      <c r="ACQ28" s="29"/>
      <c r="ACR28" s="29"/>
      <c r="ACS28" s="29"/>
      <c r="ACT28" s="29"/>
      <c r="ACU28" s="29"/>
      <c r="ACV28" s="29"/>
      <c r="ACW28" s="29"/>
      <c r="ACX28" s="29"/>
      <c r="ACY28" s="29"/>
      <c r="ACZ28" s="29"/>
      <c r="ADA28" s="29"/>
      <c r="ADB28" s="29"/>
      <c r="ADC28" s="29"/>
      <c r="ADD28" s="29"/>
      <c r="ADE28" s="29"/>
      <c r="ADF28" s="29"/>
      <c r="ADG28" s="29"/>
      <c r="ADH28" s="29"/>
      <c r="ADI28" s="29"/>
      <c r="ADJ28" s="29"/>
      <c r="ADK28" s="29"/>
      <c r="ADL28" s="29"/>
      <c r="ADM28" s="29"/>
      <c r="ADN28" s="29"/>
      <c r="ADO28" s="29"/>
      <c r="ADP28" s="29"/>
      <c r="ADQ28" s="29"/>
      <c r="ADR28" s="29"/>
      <c r="ADS28" s="29"/>
      <c r="ADT28" s="29"/>
      <c r="ADU28" s="29"/>
      <c r="ADV28" s="29"/>
      <c r="ADW28" s="29"/>
      <c r="ADX28" s="29"/>
      <c r="ADY28" s="29"/>
      <c r="ADZ28" s="29"/>
      <c r="AEA28" s="29"/>
      <c r="AEB28" s="29"/>
      <c r="AEC28" s="29"/>
      <c r="AED28" s="29"/>
      <c r="AEE28" s="29"/>
      <c r="AEF28" s="29"/>
      <c r="AEG28" s="29"/>
      <c r="AEH28" s="29"/>
      <c r="AEI28" s="29"/>
      <c r="AEJ28" s="29"/>
      <c r="AEK28" s="29"/>
      <c r="AEL28" s="29"/>
      <c r="AEM28" s="29"/>
      <c r="AEN28" s="29"/>
      <c r="AEO28" s="29"/>
      <c r="AEP28" s="29"/>
      <c r="AEQ28" s="29"/>
      <c r="AER28" s="29"/>
      <c r="AES28" s="29"/>
      <c r="AET28" s="29"/>
      <c r="AEU28" s="29"/>
      <c r="AEV28" s="29"/>
      <c r="AEW28" s="29"/>
      <c r="AEX28" s="29"/>
      <c r="AEY28" s="29"/>
      <c r="AEZ28" s="29"/>
      <c r="AFA28" s="29"/>
      <c r="AFB28" s="29"/>
      <c r="AFC28" s="29"/>
      <c r="AFD28" s="29"/>
      <c r="AFE28" s="29"/>
      <c r="AFF28" s="29"/>
      <c r="AFG28" s="29"/>
      <c r="AFH28" s="29"/>
      <c r="AFI28" s="29"/>
      <c r="AFJ28" s="29"/>
      <c r="AFK28" s="29"/>
      <c r="AFL28" s="29"/>
      <c r="AFM28" s="29"/>
      <c r="AFN28" s="29"/>
      <c r="AFO28" s="29"/>
      <c r="AFP28" s="29"/>
      <c r="AFQ28" s="29"/>
      <c r="AFR28" s="29"/>
      <c r="AFS28" s="29"/>
      <c r="AFT28" s="29"/>
      <c r="AFU28" s="29"/>
      <c r="AFV28" s="29"/>
      <c r="AFW28" s="29"/>
      <c r="AFX28" s="29"/>
      <c r="AFY28" s="29"/>
      <c r="AFZ28" s="29"/>
      <c r="AGA28" s="29"/>
      <c r="AGB28" s="29"/>
      <c r="AGC28" s="29"/>
      <c r="AGD28" s="29"/>
      <c r="AGE28" s="29"/>
      <c r="AGF28" s="29"/>
      <c r="AGG28" s="29"/>
      <c r="AGH28" s="29"/>
      <c r="AGI28" s="29"/>
      <c r="AGJ28" s="29"/>
      <c r="AGK28" s="29"/>
      <c r="AGL28" s="29"/>
      <c r="AGM28" s="29"/>
      <c r="AGN28" s="29"/>
      <c r="AGO28" s="29"/>
      <c r="AGP28" s="29"/>
      <c r="AGQ28" s="29"/>
      <c r="AGR28" s="29"/>
      <c r="AGS28" s="29"/>
      <c r="AGT28" s="29"/>
      <c r="AGU28" s="29"/>
      <c r="AGV28" s="29"/>
      <c r="AGW28" s="29"/>
      <c r="AGX28" s="29"/>
      <c r="AGY28" s="29"/>
      <c r="AGZ28" s="29"/>
      <c r="AHA28" s="29"/>
      <c r="AHB28" s="29"/>
      <c r="AHC28" s="29"/>
      <c r="AHD28" s="29"/>
      <c r="AHE28" s="29"/>
      <c r="AHF28" s="29"/>
      <c r="AHG28" s="29"/>
      <c r="AHH28" s="29"/>
      <c r="AHI28" s="29"/>
      <c r="AHJ28" s="29"/>
      <c r="AHK28" s="29"/>
      <c r="AHL28" s="29"/>
      <c r="AHM28" s="29"/>
      <c r="AHN28" s="29"/>
      <c r="AHO28" s="29"/>
      <c r="AHP28" s="29"/>
      <c r="AHQ28" s="29"/>
      <c r="AHR28" s="29"/>
      <c r="AHS28" s="29"/>
      <c r="AHT28" s="29"/>
      <c r="AHU28" s="29"/>
      <c r="AHV28" s="29"/>
      <c r="AHW28" s="29"/>
      <c r="AHX28" s="29"/>
      <c r="AHY28" s="29"/>
      <c r="AHZ28" s="29"/>
      <c r="AIA28" s="29"/>
      <c r="AIB28" s="29"/>
      <c r="AIC28" s="29"/>
      <c r="AID28" s="29"/>
      <c r="AIE28" s="29"/>
      <c r="AIF28" s="29"/>
      <c r="AIG28" s="29"/>
      <c r="AIH28" s="29"/>
      <c r="AII28" s="29"/>
      <c r="AIJ28" s="29"/>
      <c r="AIK28" s="29"/>
      <c r="AIL28" s="29"/>
      <c r="AIM28" s="29"/>
      <c r="AIN28" s="29"/>
      <c r="AIO28" s="29"/>
      <c r="AIP28" s="29"/>
      <c r="AIQ28" s="29"/>
      <c r="AIR28" s="29"/>
      <c r="AIS28" s="29"/>
      <c r="AIT28" s="29"/>
      <c r="AIU28" s="29"/>
      <c r="AIV28" s="29"/>
      <c r="AIW28" s="29"/>
      <c r="AIX28" s="29"/>
      <c r="AIY28" s="29"/>
      <c r="AIZ28" s="29"/>
      <c r="AJA28" s="29"/>
      <c r="AJB28" s="29"/>
      <c r="AJC28" s="29"/>
      <c r="AJD28" s="29"/>
      <c r="AJE28" s="29"/>
      <c r="AJF28" s="29"/>
      <c r="AJG28" s="29"/>
      <c r="AJH28" s="29"/>
      <c r="AJI28" s="29"/>
      <c r="AJJ28" s="29"/>
      <c r="AJK28" s="29"/>
      <c r="AJL28" s="29"/>
      <c r="AJM28" s="29"/>
      <c r="AJN28" s="29"/>
      <c r="AJO28" s="29"/>
      <c r="AJP28" s="29"/>
      <c r="AJQ28" s="29"/>
      <c r="AJR28" s="29"/>
      <c r="AJS28" s="29"/>
      <c r="AJT28" s="29"/>
      <c r="AJU28" s="29"/>
      <c r="AJV28" s="29"/>
      <c r="AJW28" s="29"/>
      <c r="AJX28" s="29"/>
      <c r="AJY28" s="29"/>
      <c r="AJZ28" s="29"/>
      <c r="AKA28" s="29"/>
      <c r="AKB28" s="29"/>
      <c r="AKC28" s="29"/>
      <c r="AKD28" s="29"/>
      <c r="AKE28" s="29"/>
      <c r="AKF28" s="29"/>
      <c r="AKG28" s="29"/>
      <c r="AKH28" s="29"/>
      <c r="AKI28" s="29"/>
      <c r="AKJ28" s="29"/>
      <c r="AKK28" s="29"/>
      <c r="AKL28" s="29"/>
      <c r="AKM28" s="29"/>
      <c r="AKN28" s="29"/>
      <c r="AKO28" s="29"/>
      <c r="AKP28" s="29"/>
      <c r="AKQ28" s="29"/>
      <c r="AKR28" s="29"/>
      <c r="AKS28" s="29"/>
      <c r="AKT28" s="29"/>
      <c r="AKU28" s="29"/>
      <c r="AKV28" s="29"/>
      <c r="AKW28" s="29"/>
      <c r="AKX28" s="29"/>
      <c r="AKY28" s="29"/>
      <c r="AKZ28" s="29"/>
      <c r="ALA28" s="29"/>
      <c r="ALB28" s="29"/>
      <c r="ALC28" s="29"/>
      <c r="ALD28" s="29"/>
      <c r="ALE28" s="29"/>
      <c r="ALF28" s="29"/>
      <c r="ALG28" s="29"/>
      <c r="ALH28" s="29"/>
      <c r="ALI28" s="29"/>
      <c r="ALJ28" s="29"/>
      <c r="ALK28" s="29"/>
      <c r="ALL28" s="29"/>
      <c r="ALM28" s="29"/>
      <c r="ALN28" s="29"/>
      <c r="ALO28" s="29"/>
      <c r="ALP28" s="29"/>
      <c r="ALQ28" s="29"/>
      <c r="ALR28" s="29"/>
      <c r="ALS28" s="29"/>
      <c r="ALT28" s="29"/>
      <c r="ALU28" s="29"/>
      <c r="ALV28" s="29"/>
      <c r="ALW28" s="29"/>
      <c r="ALX28" s="29"/>
      <c r="ALY28" s="29"/>
      <c r="ALZ28" s="29"/>
      <c r="AMA28" s="29"/>
      <c r="AMB28" s="29"/>
      <c r="AMC28" s="29"/>
      <c r="AMD28" s="29"/>
      <c r="AME28" s="29"/>
    </row>
    <row r="29" customFormat="false" ht="22.5" hidden="false" customHeight="true" outlineLevel="0" collapsed="false">
      <c r="A29" s="29"/>
      <c r="B29" s="30"/>
      <c r="C29" s="34" t="s">
        <v>26</v>
      </c>
      <c r="D29" s="34" t="s">
        <v>27</v>
      </c>
      <c r="E29" s="34" t="s">
        <v>28</v>
      </c>
      <c r="F29" s="35" t="s">
        <v>26</v>
      </c>
      <c r="G29" s="35" t="s">
        <v>27</v>
      </c>
      <c r="H29" s="35" t="s">
        <v>28</v>
      </c>
      <c r="I29" s="35" t="s">
        <v>29</v>
      </c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33"/>
      <c r="IQ29" s="29"/>
      <c r="IR29" s="29"/>
      <c r="IS29" s="29"/>
      <c r="IT29" s="29"/>
      <c r="IU29" s="29"/>
      <c r="IV29" s="29"/>
      <c r="IW29" s="29"/>
      <c r="IX29" s="29"/>
      <c r="IY29" s="29"/>
      <c r="IZ29" s="29"/>
      <c r="JA29" s="29"/>
      <c r="JB29" s="29"/>
      <c r="JC29" s="29"/>
      <c r="JD29" s="29"/>
      <c r="JE29" s="29"/>
      <c r="JF29" s="29"/>
      <c r="JG29" s="29"/>
      <c r="JH29" s="29"/>
      <c r="JI29" s="29"/>
      <c r="JJ29" s="29"/>
      <c r="JK29" s="29"/>
      <c r="JL29" s="29"/>
      <c r="JM29" s="29"/>
      <c r="JN29" s="29"/>
      <c r="JO29" s="29"/>
      <c r="JP29" s="29"/>
      <c r="JQ29" s="29"/>
      <c r="JR29" s="29"/>
      <c r="JS29" s="29"/>
      <c r="JT29" s="29"/>
      <c r="JU29" s="29"/>
      <c r="JV29" s="29"/>
      <c r="JW29" s="29"/>
      <c r="JX29" s="29"/>
      <c r="JY29" s="29"/>
      <c r="JZ29" s="29"/>
      <c r="KA29" s="29"/>
      <c r="KB29" s="29"/>
      <c r="KC29" s="29"/>
      <c r="KD29" s="29"/>
      <c r="KE29" s="29"/>
      <c r="KF29" s="29"/>
      <c r="KG29" s="29"/>
      <c r="KH29" s="29"/>
      <c r="KI29" s="29"/>
      <c r="KJ29" s="29"/>
      <c r="KK29" s="29"/>
      <c r="KL29" s="29"/>
      <c r="KM29" s="29"/>
      <c r="KN29" s="29"/>
      <c r="KO29" s="29"/>
      <c r="KP29" s="29"/>
      <c r="KQ29" s="29"/>
      <c r="KR29" s="29"/>
      <c r="KS29" s="29"/>
      <c r="KT29" s="29"/>
      <c r="KU29" s="29"/>
      <c r="KV29" s="29"/>
      <c r="KW29" s="29"/>
      <c r="KX29" s="29"/>
      <c r="KY29" s="29"/>
      <c r="KZ29" s="29"/>
      <c r="LA29" s="29"/>
      <c r="LB29" s="29"/>
      <c r="LC29" s="29"/>
      <c r="LD29" s="29"/>
      <c r="LE29" s="29"/>
      <c r="LF29" s="29"/>
      <c r="LG29" s="29"/>
      <c r="LH29" s="29"/>
      <c r="LI29" s="29"/>
      <c r="LJ29" s="29"/>
      <c r="LK29" s="29"/>
      <c r="LL29" s="29"/>
      <c r="LM29" s="29"/>
      <c r="LN29" s="29"/>
      <c r="LO29" s="29"/>
      <c r="LP29" s="29"/>
      <c r="LQ29" s="29"/>
      <c r="LR29" s="29"/>
      <c r="LS29" s="29"/>
      <c r="LT29" s="29"/>
      <c r="LU29" s="29"/>
      <c r="LV29" s="29"/>
      <c r="LW29" s="29"/>
      <c r="LX29" s="29"/>
      <c r="LY29" s="29"/>
      <c r="LZ29" s="29"/>
      <c r="MA29" s="29"/>
      <c r="MB29" s="29"/>
      <c r="MC29" s="29"/>
      <c r="MD29" s="29"/>
      <c r="ME29" s="29"/>
      <c r="MF29" s="29"/>
      <c r="MG29" s="29"/>
      <c r="MH29" s="29"/>
      <c r="MI29" s="29"/>
      <c r="MJ29" s="29"/>
      <c r="MK29" s="29"/>
      <c r="ML29" s="29"/>
      <c r="MM29" s="29"/>
      <c r="MN29" s="29"/>
      <c r="MO29" s="29"/>
      <c r="MP29" s="29"/>
      <c r="MQ29" s="29"/>
      <c r="MR29" s="29"/>
      <c r="MS29" s="29"/>
      <c r="MT29" s="29"/>
      <c r="MU29" s="29"/>
      <c r="MV29" s="29"/>
      <c r="MW29" s="29"/>
      <c r="MX29" s="29"/>
      <c r="MY29" s="29"/>
      <c r="MZ29" s="29"/>
      <c r="NA29" s="29"/>
      <c r="NB29" s="29"/>
      <c r="NC29" s="29"/>
      <c r="ND29" s="29"/>
      <c r="NE29" s="29"/>
      <c r="NF29" s="29"/>
      <c r="NG29" s="29"/>
      <c r="NH29" s="29"/>
      <c r="NI29" s="29"/>
      <c r="NJ29" s="29"/>
      <c r="NK29" s="29"/>
      <c r="NL29" s="29"/>
      <c r="NM29" s="29"/>
      <c r="NN29" s="29"/>
      <c r="NO29" s="29"/>
      <c r="NP29" s="29"/>
      <c r="NQ29" s="29"/>
      <c r="NR29" s="29"/>
      <c r="NS29" s="29"/>
      <c r="NT29" s="29"/>
      <c r="NU29" s="29"/>
      <c r="NV29" s="29"/>
      <c r="NW29" s="29"/>
      <c r="NX29" s="29"/>
      <c r="NY29" s="29"/>
      <c r="NZ29" s="29"/>
      <c r="OA29" s="29"/>
      <c r="OB29" s="29"/>
      <c r="OC29" s="29"/>
      <c r="OD29" s="29"/>
      <c r="OE29" s="29"/>
      <c r="OF29" s="29"/>
      <c r="OG29" s="29"/>
      <c r="OH29" s="29"/>
      <c r="OI29" s="29"/>
      <c r="OJ29" s="29"/>
      <c r="OK29" s="29"/>
      <c r="OL29" s="29"/>
      <c r="OM29" s="29"/>
      <c r="ON29" s="29"/>
      <c r="OO29" s="29"/>
      <c r="OP29" s="29"/>
      <c r="OQ29" s="29"/>
      <c r="OR29" s="29"/>
      <c r="OS29" s="29"/>
      <c r="OT29" s="29"/>
      <c r="OU29" s="29"/>
      <c r="OV29" s="29"/>
      <c r="OW29" s="29"/>
      <c r="OX29" s="29"/>
      <c r="OY29" s="29"/>
      <c r="OZ29" s="29"/>
      <c r="PA29" s="29"/>
      <c r="PB29" s="29"/>
      <c r="PC29" s="29"/>
      <c r="PD29" s="29"/>
      <c r="PE29" s="29"/>
      <c r="PF29" s="29"/>
      <c r="PG29" s="29"/>
      <c r="PH29" s="29"/>
      <c r="PI29" s="29"/>
      <c r="PJ29" s="29"/>
      <c r="PK29" s="29"/>
      <c r="PL29" s="29"/>
      <c r="PM29" s="29"/>
      <c r="PN29" s="29"/>
      <c r="PO29" s="29"/>
      <c r="PP29" s="29"/>
      <c r="PQ29" s="29"/>
      <c r="PR29" s="29"/>
      <c r="PS29" s="29"/>
      <c r="PT29" s="29"/>
      <c r="PU29" s="29"/>
      <c r="PV29" s="29"/>
      <c r="PW29" s="29"/>
      <c r="PX29" s="29"/>
      <c r="PY29" s="29"/>
      <c r="PZ29" s="29"/>
      <c r="QA29" s="29"/>
      <c r="QB29" s="29"/>
      <c r="QC29" s="29"/>
      <c r="QD29" s="29"/>
      <c r="QE29" s="29"/>
      <c r="QF29" s="29"/>
      <c r="QG29" s="29"/>
      <c r="QH29" s="29"/>
      <c r="QI29" s="29"/>
      <c r="QJ29" s="29"/>
      <c r="QK29" s="29"/>
      <c r="QL29" s="29"/>
      <c r="QM29" s="29"/>
      <c r="QN29" s="29"/>
      <c r="QO29" s="29"/>
      <c r="QP29" s="29"/>
      <c r="QQ29" s="29"/>
      <c r="QR29" s="29"/>
      <c r="QS29" s="29"/>
      <c r="QT29" s="29"/>
      <c r="QU29" s="29"/>
      <c r="QV29" s="29"/>
      <c r="QW29" s="29"/>
      <c r="QX29" s="29"/>
      <c r="QY29" s="29"/>
      <c r="QZ29" s="29"/>
      <c r="RA29" s="29"/>
      <c r="RB29" s="29"/>
      <c r="RC29" s="29"/>
      <c r="RD29" s="29"/>
      <c r="RE29" s="29"/>
      <c r="RF29" s="29"/>
      <c r="RG29" s="29"/>
      <c r="RH29" s="29"/>
      <c r="RI29" s="29"/>
      <c r="RJ29" s="29"/>
      <c r="RK29" s="29"/>
      <c r="RL29" s="29"/>
      <c r="RM29" s="29"/>
      <c r="RN29" s="29"/>
      <c r="RO29" s="29"/>
      <c r="RP29" s="29"/>
      <c r="RQ29" s="29"/>
      <c r="RR29" s="29"/>
      <c r="RS29" s="29"/>
      <c r="RT29" s="29"/>
      <c r="RU29" s="29"/>
      <c r="RV29" s="29"/>
      <c r="RW29" s="29"/>
      <c r="RX29" s="29"/>
      <c r="RY29" s="29"/>
      <c r="RZ29" s="29"/>
      <c r="SA29" s="29"/>
      <c r="SB29" s="29"/>
      <c r="SC29" s="29"/>
      <c r="SD29" s="29"/>
      <c r="SE29" s="29"/>
      <c r="SF29" s="29"/>
      <c r="SG29" s="29"/>
      <c r="SH29" s="29"/>
      <c r="SI29" s="29"/>
      <c r="SJ29" s="29"/>
      <c r="SK29" s="29"/>
      <c r="SL29" s="29"/>
      <c r="SM29" s="29"/>
      <c r="SN29" s="29"/>
      <c r="SO29" s="29"/>
      <c r="SP29" s="29"/>
      <c r="SQ29" s="29"/>
      <c r="SR29" s="29"/>
      <c r="SS29" s="29"/>
      <c r="ST29" s="29"/>
      <c r="SU29" s="29"/>
      <c r="SV29" s="29"/>
      <c r="SW29" s="29"/>
      <c r="SX29" s="29"/>
      <c r="SY29" s="29"/>
      <c r="SZ29" s="29"/>
      <c r="TA29" s="29"/>
      <c r="TB29" s="29"/>
      <c r="TC29" s="29"/>
      <c r="TD29" s="29"/>
      <c r="TE29" s="29"/>
      <c r="TF29" s="29"/>
      <c r="TG29" s="29"/>
      <c r="TH29" s="29"/>
      <c r="TI29" s="29"/>
      <c r="TJ29" s="29"/>
      <c r="TK29" s="29"/>
      <c r="TL29" s="29"/>
      <c r="TM29" s="29"/>
      <c r="TN29" s="29"/>
      <c r="TO29" s="29"/>
      <c r="TP29" s="29"/>
      <c r="TQ29" s="29"/>
      <c r="TR29" s="29"/>
      <c r="TS29" s="29"/>
      <c r="TT29" s="29"/>
      <c r="TU29" s="29"/>
      <c r="TV29" s="29"/>
      <c r="TW29" s="29"/>
      <c r="TX29" s="29"/>
      <c r="TY29" s="29"/>
      <c r="TZ29" s="29"/>
      <c r="UA29" s="29"/>
      <c r="UB29" s="29"/>
      <c r="UC29" s="29"/>
      <c r="UD29" s="29"/>
      <c r="UE29" s="29"/>
      <c r="UF29" s="29"/>
      <c r="UG29" s="29"/>
      <c r="UH29" s="29"/>
      <c r="UI29" s="29"/>
      <c r="UJ29" s="29"/>
      <c r="UK29" s="29"/>
      <c r="UL29" s="29"/>
      <c r="UM29" s="29"/>
      <c r="UN29" s="29"/>
      <c r="UO29" s="29"/>
      <c r="UP29" s="29"/>
      <c r="UQ29" s="29"/>
      <c r="UR29" s="29"/>
      <c r="US29" s="29"/>
      <c r="UT29" s="29"/>
      <c r="UU29" s="29"/>
      <c r="UV29" s="29"/>
      <c r="UW29" s="29"/>
      <c r="UX29" s="29"/>
      <c r="UY29" s="29"/>
      <c r="UZ29" s="29"/>
      <c r="VA29" s="29"/>
      <c r="VB29" s="29"/>
      <c r="VC29" s="29"/>
      <c r="VD29" s="29"/>
      <c r="VE29" s="29"/>
      <c r="VF29" s="29"/>
      <c r="VG29" s="29"/>
      <c r="VH29" s="29"/>
      <c r="VI29" s="29"/>
      <c r="VJ29" s="29"/>
      <c r="VK29" s="29"/>
      <c r="VL29" s="29"/>
      <c r="VM29" s="29"/>
      <c r="VN29" s="29"/>
      <c r="VO29" s="29"/>
      <c r="VP29" s="29"/>
      <c r="VQ29" s="29"/>
      <c r="VR29" s="29"/>
      <c r="VS29" s="29"/>
      <c r="VT29" s="29"/>
      <c r="VU29" s="29"/>
      <c r="VV29" s="29"/>
      <c r="VW29" s="29"/>
      <c r="VX29" s="29"/>
      <c r="VY29" s="29"/>
      <c r="VZ29" s="29"/>
      <c r="WA29" s="29"/>
      <c r="WB29" s="29"/>
      <c r="WC29" s="29"/>
      <c r="WD29" s="29"/>
      <c r="WE29" s="29"/>
      <c r="WF29" s="29"/>
      <c r="WG29" s="29"/>
      <c r="WH29" s="29"/>
      <c r="WI29" s="29"/>
      <c r="WJ29" s="29"/>
      <c r="WK29" s="29"/>
      <c r="WL29" s="29"/>
      <c r="WM29" s="29"/>
      <c r="WN29" s="29"/>
      <c r="WO29" s="29"/>
      <c r="WP29" s="29"/>
      <c r="WQ29" s="29"/>
      <c r="WR29" s="29"/>
      <c r="WS29" s="29"/>
      <c r="WT29" s="29"/>
      <c r="WU29" s="29"/>
      <c r="WV29" s="29"/>
      <c r="WW29" s="29"/>
      <c r="WX29" s="29"/>
      <c r="WY29" s="29"/>
      <c r="WZ29" s="29"/>
      <c r="XA29" s="29"/>
      <c r="XB29" s="29"/>
      <c r="XC29" s="29"/>
      <c r="XD29" s="29"/>
      <c r="XE29" s="29"/>
      <c r="XF29" s="29"/>
      <c r="XG29" s="29"/>
      <c r="XH29" s="29"/>
      <c r="XI29" s="29"/>
      <c r="XJ29" s="29"/>
      <c r="XK29" s="29"/>
      <c r="XL29" s="29"/>
      <c r="XM29" s="29"/>
      <c r="XN29" s="29"/>
      <c r="XO29" s="29"/>
      <c r="XP29" s="29"/>
      <c r="XQ29" s="29"/>
      <c r="XR29" s="29"/>
      <c r="XS29" s="29"/>
      <c r="XT29" s="29"/>
      <c r="XU29" s="29"/>
      <c r="XV29" s="29"/>
      <c r="XW29" s="29"/>
      <c r="XX29" s="29"/>
      <c r="XY29" s="29"/>
      <c r="XZ29" s="29"/>
      <c r="YA29" s="29"/>
      <c r="YB29" s="29"/>
      <c r="YC29" s="29"/>
      <c r="YD29" s="29"/>
      <c r="YE29" s="29"/>
      <c r="YF29" s="29"/>
      <c r="YG29" s="29"/>
      <c r="YH29" s="29"/>
      <c r="YI29" s="29"/>
      <c r="YJ29" s="29"/>
      <c r="YK29" s="29"/>
      <c r="YL29" s="29"/>
      <c r="YM29" s="29"/>
      <c r="YN29" s="29"/>
      <c r="YO29" s="29"/>
      <c r="YP29" s="29"/>
      <c r="YQ29" s="29"/>
      <c r="YR29" s="29"/>
      <c r="YS29" s="29"/>
      <c r="YT29" s="29"/>
      <c r="YU29" s="29"/>
      <c r="YV29" s="29"/>
      <c r="YW29" s="29"/>
      <c r="YX29" s="29"/>
      <c r="YY29" s="29"/>
      <c r="YZ29" s="29"/>
      <c r="ZA29" s="29"/>
      <c r="ZB29" s="29"/>
      <c r="ZC29" s="29"/>
      <c r="ZD29" s="29"/>
      <c r="ZE29" s="29"/>
      <c r="ZF29" s="29"/>
      <c r="ZG29" s="29"/>
      <c r="ZH29" s="29"/>
      <c r="ZI29" s="29"/>
      <c r="ZJ29" s="29"/>
      <c r="ZK29" s="29"/>
      <c r="ZL29" s="29"/>
      <c r="ZM29" s="29"/>
      <c r="ZN29" s="29"/>
      <c r="ZO29" s="29"/>
      <c r="ZP29" s="29"/>
      <c r="ZQ29" s="29"/>
      <c r="ZR29" s="29"/>
      <c r="ZS29" s="29"/>
      <c r="ZT29" s="29"/>
      <c r="ZU29" s="29"/>
      <c r="ZV29" s="29"/>
      <c r="ZW29" s="29"/>
      <c r="ZX29" s="29"/>
      <c r="ZY29" s="29"/>
      <c r="ZZ29" s="29"/>
      <c r="AAA29" s="29"/>
      <c r="AAB29" s="29"/>
      <c r="AAC29" s="29"/>
      <c r="AAD29" s="29"/>
      <c r="AAE29" s="29"/>
      <c r="AAF29" s="29"/>
      <c r="AAG29" s="29"/>
      <c r="AAH29" s="29"/>
      <c r="AAI29" s="29"/>
      <c r="AAJ29" s="29"/>
      <c r="AAK29" s="29"/>
      <c r="AAL29" s="29"/>
      <c r="AAM29" s="29"/>
      <c r="AAN29" s="29"/>
      <c r="AAO29" s="29"/>
      <c r="AAP29" s="29"/>
      <c r="AAQ29" s="29"/>
      <c r="AAR29" s="29"/>
      <c r="AAS29" s="29"/>
      <c r="AAT29" s="29"/>
      <c r="AAU29" s="29"/>
      <c r="AAV29" s="29"/>
      <c r="AAW29" s="29"/>
      <c r="AAX29" s="29"/>
      <c r="AAY29" s="29"/>
      <c r="AAZ29" s="29"/>
      <c r="ABA29" s="29"/>
      <c r="ABB29" s="29"/>
      <c r="ABC29" s="29"/>
      <c r="ABD29" s="29"/>
      <c r="ABE29" s="29"/>
      <c r="ABF29" s="29"/>
      <c r="ABG29" s="29"/>
      <c r="ABH29" s="29"/>
      <c r="ABI29" s="29"/>
      <c r="ABJ29" s="29"/>
      <c r="ABK29" s="29"/>
      <c r="ABL29" s="29"/>
      <c r="ABM29" s="29"/>
      <c r="ABN29" s="29"/>
      <c r="ABO29" s="29"/>
      <c r="ABP29" s="29"/>
      <c r="ABQ29" s="29"/>
      <c r="ABR29" s="29"/>
      <c r="ABS29" s="29"/>
      <c r="ABT29" s="29"/>
      <c r="ABU29" s="29"/>
      <c r="ABV29" s="29"/>
      <c r="ABW29" s="29"/>
      <c r="ABX29" s="29"/>
      <c r="ABY29" s="29"/>
      <c r="ABZ29" s="29"/>
      <c r="ACA29" s="29"/>
      <c r="ACB29" s="29"/>
      <c r="ACC29" s="29"/>
      <c r="ACD29" s="29"/>
      <c r="ACE29" s="29"/>
      <c r="ACF29" s="29"/>
      <c r="ACG29" s="29"/>
      <c r="ACH29" s="29"/>
      <c r="ACI29" s="29"/>
      <c r="ACJ29" s="29"/>
      <c r="ACK29" s="29"/>
      <c r="ACL29" s="29"/>
      <c r="ACM29" s="29"/>
      <c r="ACN29" s="29"/>
      <c r="ACO29" s="29"/>
      <c r="ACP29" s="29"/>
      <c r="ACQ29" s="29"/>
      <c r="ACR29" s="29"/>
      <c r="ACS29" s="29"/>
      <c r="ACT29" s="29"/>
      <c r="ACU29" s="29"/>
      <c r="ACV29" s="29"/>
      <c r="ACW29" s="29"/>
      <c r="ACX29" s="29"/>
      <c r="ACY29" s="29"/>
      <c r="ACZ29" s="29"/>
      <c r="ADA29" s="29"/>
      <c r="ADB29" s="29"/>
      <c r="ADC29" s="29"/>
      <c r="ADD29" s="29"/>
      <c r="ADE29" s="29"/>
      <c r="ADF29" s="29"/>
      <c r="ADG29" s="29"/>
      <c r="ADH29" s="29"/>
      <c r="ADI29" s="29"/>
      <c r="ADJ29" s="29"/>
      <c r="ADK29" s="29"/>
      <c r="ADL29" s="29"/>
      <c r="ADM29" s="29"/>
      <c r="ADN29" s="29"/>
      <c r="ADO29" s="29"/>
      <c r="ADP29" s="29"/>
      <c r="ADQ29" s="29"/>
      <c r="ADR29" s="29"/>
      <c r="ADS29" s="29"/>
      <c r="ADT29" s="29"/>
      <c r="ADU29" s="29"/>
      <c r="ADV29" s="29"/>
      <c r="ADW29" s="29"/>
      <c r="ADX29" s="29"/>
      <c r="ADY29" s="29"/>
      <c r="ADZ29" s="29"/>
      <c r="AEA29" s="29"/>
      <c r="AEB29" s="29"/>
      <c r="AEC29" s="29"/>
      <c r="AED29" s="29"/>
      <c r="AEE29" s="29"/>
      <c r="AEF29" s="29"/>
      <c r="AEG29" s="29"/>
      <c r="AEH29" s="29"/>
      <c r="AEI29" s="29"/>
      <c r="AEJ29" s="29"/>
      <c r="AEK29" s="29"/>
      <c r="AEL29" s="29"/>
      <c r="AEM29" s="29"/>
      <c r="AEN29" s="29"/>
      <c r="AEO29" s="29"/>
      <c r="AEP29" s="29"/>
      <c r="AEQ29" s="29"/>
      <c r="AER29" s="29"/>
      <c r="AES29" s="29"/>
      <c r="AET29" s="29"/>
      <c r="AEU29" s="29"/>
      <c r="AEV29" s="29"/>
      <c r="AEW29" s="29"/>
      <c r="AEX29" s="29"/>
      <c r="AEY29" s="29"/>
      <c r="AEZ29" s="29"/>
      <c r="AFA29" s="29"/>
      <c r="AFB29" s="29"/>
      <c r="AFC29" s="29"/>
      <c r="AFD29" s="29"/>
      <c r="AFE29" s="29"/>
      <c r="AFF29" s="29"/>
      <c r="AFG29" s="29"/>
      <c r="AFH29" s="29"/>
      <c r="AFI29" s="29"/>
      <c r="AFJ29" s="29"/>
      <c r="AFK29" s="29"/>
      <c r="AFL29" s="29"/>
      <c r="AFM29" s="29"/>
      <c r="AFN29" s="29"/>
      <c r="AFO29" s="29"/>
      <c r="AFP29" s="29"/>
      <c r="AFQ29" s="29"/>
      <c r="AFR29" s="29"/>
      <c r="AFS29" s="29"/>
      <c r="AFT29" s="29"/>
      <c r="AFU29" s="29"/>
      <c r="AFV29" s="29"/>
      <c r="AFW29" s="29"/>
      <c r="AFX29" s="29"/>
      <c r="AFY29" s="29"/>
      <c r="AFZ29" s="29"/>
      <c r="AGA29" s="29"/>
      <c r="AGB29" s="29"/>
      <c r="AGC29" s="29"/>
      <c r="AGD29" s="29"/>
      <c r="AGE29" s="29"/>
      <c r="AGF29" s="29"/>
      <c r="AGG29" s="29"/>
      <c r="AGH29" s="29"/>
      <c r="AGI29" s="29"/>
      <c r="AGJ29" s="29"/>
      <c r="AGK29" s="29"/>
      <c r="AGL29" s="29"/>
      <c r="AGM29" s="29"/>
      <c r="AGN29" s="29"/>
      <c r="AGO29" s="29"/>
      <c r="AGP29" s="29"/>
      <c r="AGQ29" s="29"/>
      <c r="AGR29" s="29"/>
      <c r="AGS29" s="29"/>
      <c r="AGT29" s="29"/>
      <c r="AGU29" s="29"/>
      <c r="AGV29" s="29"/>
      <c r="AGW29" s="29"/>
      <c r="AGX29" s="29"/>
      <c r="AGY29" s="29"/>
      <c r="AGZ29" s="29"/>
      <c r="AHA29" s="29"/>
      <c r="AHB29" s="29"/>
      <c r="AHC29" s="29"/>
      <c r="AHD29" s="29"/>
      <c r="AHE29" s="29"/>
      <c r="AHF29" s="29"/>
      <c r="AHG29" s="29"/>
      <c r="AHH29" s="29"/>
      <c r="AHI29" s="29"/>
      <c r="AHJ29" s="29"/>
      <c r="AHK29" s="29"/>
      <c r="AHL29" s="29"/>
      <c r="AHM29" s="29"/>
      <c r="AHN29" s="29"/>
      <c r="AHO29" s="29"/>
      <c r="AHP29" s="29"/>
      <c r="AHQ29" s="29"/>
      <c r="AHR29" s="29"/>
      <c r="AHS29" s="29"/>
      <c r="AHT29" s="29"/>
      <c r="AHU29" s="29"/>
      <c r="AHV29" s="29"/>
      <c r="AHW29" s="29"/>
      <c r="AHX29" s="29"/>
      <c r="AHY29" s="29"/>
      <c r="AHZ29" s="29"/>
      <c r="AIA29" s="29"/>
      <c r="AIB29" s="29"/>
      <c r="AIC29" s="29"/>
      <c r="AID29" s="29"/>
      <c r="AIE29" s="29"/>
      <c r="AIF29" s="29"/>
      <c r="AIG29" s="29"/>
      <c r="AIH29" s="29"/>
      <c r="AII29" s="29"/>
      <c r="AIJ29" s="29"/>
      <c r="AIK29" s="29"/>
      <c r="AIL29" s="29"/>
      <c r="AIM29" s="29"/>
      <c r="AIN29" s="29"/>
      <c r="AIO29" s="29"/>
      <c r="AIP29" s="29"/>
      <c r="AIQ29" s="29"/>
      <c r="AIR29" s="29"/>
      <c r="AIS29" s="29"/>
      <c r="AIT29" s="29"/>
      <c r="AIU29" s="29"/>
      <c r="AIV29" s="29"/>
      <c r="AIW29" s="29"/>
      <c r="AIX29" s="29"/>
      <c r="AIY29" s="29"/>
      <c r="AIZ29" s="29"/>
      <c r="AJA29" s="29"/>
      <c r="AJB29" s="29"/>
      <c r="AJC29" s="29"/>
      <c r="AJD29" s="29"/>
      <c r="AJE29" s="29"/>
      <c r="AJF29" s="29"/>
      <c r="AJG29" s="29"/>
      <c r="AJH29" s="29"/>
      <c r="AJI29" s="29"/>
      <c r="AJJ29" s="29"/>
      <c r="AJK29" s="29"/>
      <c r="AJL29" s="29"/>
      <c r="AJM29" s="29"/>
      <c r="AJN29" s="29"/>
      <c r="AJO29" s="29"/>
      <c r="AJP29" s="29"/>
      <c r="AJQ29" s="29"/>
      <c r="AJR29" s="29"/>
      <c r="AJS29" s="29"/>
      <c r="AJT29" s="29"/>
      <c r="AJU29" s="29"/>
      <c r="AJV29" s="29"/>
      <c r="AJW29" s="29"/>
      <c r="AJX29" s="29"/>
      <c r="AJY29" s="29"/>
      <c r="AJZ29" s="29"/>
      <c r="AKA29" s="29"/>
      <c r="AKB29" s="29"/>
      <c r="AKC29" s="29"/>
      <c r="AKD29" s="29"/>
      <c r="AKE29" s="29"/>
      <c r="AKF29" s="29"/>
      <c r="AKG29" s="29"/>
      <c r="AKH29" s="29"/>
      <c r="AKI29" s="29"/>
      <c r="AKJ29" s="29"/>
      <c r="AKK29" s="29"/>
      <c r="AKL29" s="29"/>
      <c r="AKM29" s="29"/>
      <c r="AKN29" s="29"/>
      <c r="AKO29" s="29"/>
      <c r="AKP29" s="29"/>
      <c r="AKQ29" s="29"/>
      <c r="AKR29" s="29"/>
      <c r="AKS29" s="29"/>
      <c r="AKT29" s="29"/>
      <c r="AKU29" s="29"/>
      <c r="AKV29" s="29"/>
      <c r="AKW29" s="29"/>
      <c r="AKX29" s="29"/>
      <c r="AKY29" s="29"/>
      <c r="AKZ29" s="29"/>
      <c r="ALA29" s="29"/>
      <c r="ALB29" s="29"/>
      <c r="ALC29" s="29"/>
      <c r="ALD29" s="29"/>
      <c r="ALE29" s="29"/>
      <c r="ALF29" s="29"/>
      <c r="ALG29" s="29"/>
      <c r="ALH29" s="29"/>
      <c r="ALI29" s="29"/>
      <c r="ALJ29" s="29"/>
      <c r="ALK29" s="29"/>
      <c r="ALL29" s="29"/>
      <c r="ALM29" s="29"/>
      <c r="ALN29" s="29"/>
      <c r="ALO29" s="29"/>
      <c r="ALP29" s="29"/>
      <c r="ALQ29" s="29"/>
      <c r="ALR29" s="29"/>
      <c r="ALS29" s="29"/>
      <c r="ALT29" s="29"/>
      <c r="ALU29" s="29"/>
      <c r="ALV29" s="29"/>
      <c r="ALW29" s="29"/>
      <c r="ALX29" s="29"/>
      <c r="ALY29" s="29"/>
      <c r="ALZ29" s="29"/>
      <c r="AMA29" s="29"/>
      <c r="AMB29" s="29"/>
      <c r="AMC29" s="29"/>
      <c r="AMD29" s="29"/>
      <c r="AME29" s="29"/>
    </row>
    <row r="30" customFormat="false" ht="16.5" hidden="false" customHeight="true" outlineLevel="0" collapsed="false">
      <c r="B30" s="22" t="str">
        <f aca="false">'Base Criciúma'!B7</f>
        <v>APS ARARANGUÁ</v>
      </c>
      <c r="C30" s="24" t="n">
        <f aca="false">'Base Criciúma'!AO7</f>
        <v>1333.3613853497</v>
      </c>
      <c r="D30" s="24" t="n">
        <f aca="false">C30*3</f>
        <v>4000.08415604909</v>
      </c>
      <c r="E30" s="24" t="n">
        <f aca="false">C30+D30</f>
        <v>5333.44554139878</v>
      </c>
      <c r="F30" s="24" t="n">
        <f aca="false">C30*12</f>
        <v>16000.3366241964</v>
      </c>
      <c r="G30" s="24" t="n">
        <f aca="false">F30*3</f>
        <v>48001.0098725891</v>
      </c>
      <c r="H30" s="24" t="n">
        <f aca="false">F30+G30</f>
        <v>64001.3464967854</v>
      </c>
      <c r="I30" s="36" t="n">
        <f aca="false">F30/$E$7</f>
        <v>0.0421693811471616</v>
      </c>
    </row>
    <row r="31" customFormat="false" ht="16.5" hidden="false" customHeight="true" outlineLevel="0" collapsed="false">
      <c r="B31" s="22" t="str">
        <f aca="false">'Base Criciúma'!B8</f>
        <v>APS BRAÇO DO NORTE</v>
      </c>
      <c r="C31" s="24" t="n">
        <f aca="false">'Base Criciúma'!AO8</f>
        <v>984.952584292662</v>
      </c>
      <c r="D31" s="24" t="n">
        <f aca="false">C31*3</f>
        <v>2954.85775287799</v>
      </c>
      <c r="E31" s="24" t="n">
        <f aca="false">C31+D31</f>
        <v>3939.81033717065</v>
      </c>
      <c r="F31" s="24" t="n">
        <f aca="false">C31*12</f>
        <v>11819.4310115119</v>
      </c>
      <c r="G31" s="24" t="n">
        <f aca="false">F31*3</f>
        <v>35458.2930345359</v>
      </c>
      <c r="H31" s="24" t="n">
        <f aca="false">F31+G31</f>
        <v>47277.7240460478</v>
      </c>
      <c r="I31" s="36" t="n">
        <f aca="false">F31/$E$7</f>
        <v>0.0311504753289566</v>
      </c>
    </row>
    <row r="32" customFormat="false" ht="16.5" hidden="false" customHeight="true" outlineLevel="0" collapsed="false">
      <c r="B32" s="22" t="str">
        <f aca="false">'Base Criciúma'!B9</f>
        <v>APS CAPIVARI DE BAIXO</v>
      </c>
      <c r="C32" s="24" t="n">
        <f aca="false">'Base Criciúma'!AO9</f>
        <v>834.836744948128</v>
      </c>
      <c r="D32" s="24" t="n">
        <f aca="false">C32*3</f>
        <v>2504.51023484439</v>
      </c>
      <c r="E32" s="24" t="n">
        <f aca="false">C32+D32</f>
        <v>3339.34697979251</v>
      </c>
      <c r="F32" s="24" t="n">
        <f aca="false">C32*12</f>
        <v>10018.0409393775</v>
      </c>
      <c r="G32" s="24" t="n">
        <f aca="false">F32*3</f>
        <v>30054.1228181326</v>
      </c>
      <c r="H32" s="24" t="n">
        <f aca="false">F32+G32</f>
        <v>40072.1637575102</v>
      </c>
      <c r="I32" s="36" t="n">
        <f aca="false">F32/$E$7</f>
        <v>0.0264028561800148</v>
      </c>
    </row>
    <row r="33" customFormat="false" ht="16.5" hidden="false" customHeight="true" outlineLevel="0" collapsed="false">
      <c r="B33" s="22" t="str">
        <f aca="false">'Base Criciúma'!B10</f>
        <v>APS FORQUILHINHA</v>
      </c>
      <c r="C33" s="24" t="n">
        <f aca="false">'Base Criciúma'!AO10</f>
        <v>780.036087564993</v>
      </c>
      <c r="D33" s="24" t="n">
        <f aca="false">C33*3</f>
        <v>2340.10826269498</v>
      </c>
      <c r="E33" s="24" t="n">
        <f aca="false">C33+D33</f>
        <v>3120.14435025997</v>
      </c>
      <c r="F33" s="24" t="n">
        <f aca="false">C33*12</f>
        <v>9360.43305077991</v>
      </c>
      <c r="G33" s="24" t="n">
        <f aca="false">F33*3</f>
        <v>28081.2991523397</v>
      </c>
      <c r="H33" s="24" t="n">
        <f aca="false">F33+G33</f>
        <v>37441.7322031197</v>
      </c>
      <c r="I33" s="36" t="n">
        <f aca="false">F33/$E$7</f>
        <v>0.0246697102874642</v>
      </c>
    </row>
    <row r="34" customFormat="false" ht="16.5" hidden="false" customHeight="true" outlineLevel="0" collapsed="false">
      <c r="B34" s="22" t="str">
        <f aca="false">'Base Criciúma'!B11</f>
        <v>APS IÇARA</v>
      </c>
      <c r="C34" s="24" t="n">
        <f aca="false">'Base Criciúma'!AO11</f>
        <v>788.594183504482</v>
      </c>
      <c r="D34" s="24" t="n">
        <f aca="false">C34*3</f>
        <v>2365.78255051345</v>
      </c>
      <c r="E34" s="24" t="n">
        <f aca="false">C34+D34</f>
        <v>3154.37673401793</v>
      </c>
      <c r="F34" s="24" t="n">
        <f aca="false">C34*12</f>
        <v>9463.13020205378</v>
      </c>
      <c r="G34" s="24" t="n">
        <f aca="false">F34*3</f>
        <v>28389.3906061614</v>
      </c>
      <c r="H34" s="24" t="n">
        <f aca="false">F34+G34</f>
        <v>37852.5208082151</v>
      </c>
      <c r="I34" s="36" t="n">
        <f aca="false">F34/$E$7</f>
        <v>0.024940371800188</v>
      </c>
    </row>
    <row r="35" customFormat="false" ht="16.5" hidden="false" customHeight="true" outlineLevel="0" collapsed="false">
      <c r="B35" s="22" t="str">
        <f aca="false">'Base Criciúma'!B12</f>
        <v>APS LAGUNA</v>
      </c>
      <c r="C35" s="24" t="n">
        <f aca="false">'Base Criciúma'!AO12</f>
        <v>935.326722704482</v>
      </c>
      <c r="D35" s="24" t="n">
        <f aca="false">C35*3</f>
        <v>2805.98016811345</v>
      </c>
      <c r="E35" s="24" t="n">
        <f aca="false">C35+D35</f>
        <v>3741.30689081793</v>
      </c>
      <c r="F35" s="24" t="n">
        <f aca="false">C35*12</f>
        <v>11223.9206724538</v>
      </c>
      <c r="G35" s="24" t="n">
        <f aca="false">F35*3</f>
        <v>33671.7620173614</v>
      </c>
      <c r="H35" s="24" t="n">
        <f aca="false">F35+G35</f>
        <v>44895.6826898151</v>
      </c>
      <c r="I35" s="36" t="n">
        <f aca="false">F35/$E$7</f>
        <v>0.0295809894453381</v>
      </c>
    </row>
    <row r="36" customFormat="false" ht="16.5" hidden="false" customHeight="true" outlineLevel="0" collapsed="false">
      <c r="B36" s="22" t="str">
        <f aca="false">'Base Criciúma'!B13</f>
        <v>APS SOMBRIO</v>
      </c>
      <c r="C36" s="24" t="n">
        <f aca="false">'Base Criciúma'!AO13</f>
        <v>835.989210143962</v>
      </c>
      <c r="D36" s="24" t="n">
        <f aca="false">C36*3</f>
        <v>2507.96763043189</v>
      </c>
      <c r="E36" s="24" t="n">
        <f aca="false">C36+D36</f>
        <v>3343.95684057585</v>
      </c>
      <c r="F36" s="24" t="n">
        <f aca="false">C36*12</f>
        <v>10031.8705217275</v>
      </c>
      <c r="G36" s="24" t="n">
        <f aca="false">F36*3</f>
        <v>30095.6115651826</v>
      </c>
      <c r="H36" s="24" t="n">
        <f aca="false">F36+G36</f>
        <v>40127.4820869102</v>
      </c>
      <c r="I36" s="36" t="n">
        <f aca="false">F36/$E$7</f>
        <v>0.0264393044712552</v>
      </c>
    </row>
    <row r="37" customFormat="false" ht="16.5" hidden="false" customHeight="true" outlineLevel="0" collapsed="false">
      <c r="B37" s="22" t="str">
        <f aca="false">'Base Criciúma'!B14</f>
        <v>APS TUBARÃO</v>
      </c>
      <c r="C37" s="24" t="n">
        <f aca="false">'Base Criciúma'!AO14</f>
        <v>1172.72068099963</v>
      </c>
      <c r="D37" s="24" t="n">
        <f aca="false">C37*3</f>
        <v>3518.16204299888</v>
      </c>
      <c r="E37" s="24" t="n">
        <f aca="false">C37+D37</f>
        <v>4690.88272399851</v>
      </c>
      <c r="F37" s="24" t="n">
        <f aca="false">C37*12</f>
        <v>14072.6481719955</v>
      </c>
      <c r="G37" s="24" t="n">
        <f aca="false">F37*3</f>
        <v>42217.9445159866</v>
      </c>
      <c r="H37" s="24" t="n">
        <f aca="false">F37+G37</f>
        <v>56290.5926879821</v>
      </c>
      <c r="I37" s="36" t="n">
        <f aca="false">F37/$E$7</f>
        <v>0.0370888987183788</v>
      </c>
    </row>
    <row r="38" customFormat="false" ht="16.5" hidden="false" customHeight="true" outlineLevel="0" collapsed="false">
      <c r="B38" s="22" t="str">
        <f aca="false">'Base Criciúma'!B15</f>
        <v>APS URUSSANGA</v>
      </c>
      <c r="C38" s="24" t="n">
        <f aca="false">'Base Criciúma'!AO15</f>
        <v>858.254944452295</v>
      </c>
      <c r="D38" s="24" t="n">
        <f aca="false">C38*3</f>
        <v>2574.76483335689</v>
      </c>
      <c r="E38" s="24" t="n">
        <f aca="false">C38+D38</f>
        <v>3433.01977780918</v>
      </c>
      <c r="F38" s="24" t="n">
        <f aca="false">C38*12</f>
        <v>10299.0593334275</v>
      </c>
      <c r="G38" s="24" t="n">
        <f aca="false">F38*3</f>
        <v>30897.1780002826</v>
      </c>
      <c r="H38" s="24" t="n">
        <f aca="false">F38+G38</f>
        <v>41196.2373337102</v>
      </c>
      <c r="I38" s="36" t="n">
        <f aca="false">F38/$E$7</f>
        <v>0.0271434888333389</v>
      </c>
    </row>
    <row r="39" customFormat="false" ht="16.5" hidden="false" customHeight="true" outlineLevel="0" collapsed="false">
      <c r="B39" s="22" t="str">
        <f aca="false">'Base Criciúma'!B16</f>
        <v>CEDOCPREV CRICIÚMA</v>
      </c>
      <c r="C39" s="24" t="n">
        <f aca="false">'Base Criciúma'!AO16</f>
        <v>1103.24057840629</v>
      </c>
      <c r="D39" s="24" t="n">
        <f aca="false">C39*3</f>
        <v>3309.72173521886</v>
      </c>
      <c r="E39" s="24" t="n">
        <f aca="false">C39+D39</f>
        <v>4412.96231362515</v>
      </c>
      <c r="F39" s="24" t="n">
        <f aca="false">C39*12</f>
        <v>13238.8869408754</v>
      </c>
      <c r="G39" s="24" t="n">
        <f aca="false">F39*3</f>
        <v>39716.6608226263</v>
      </c>
      <c r="H39" s="24" t="n">
        <f aca="false">F39+G39</f>
        <v>52955.5477635017</v>
      </c>
      <c r="I39" s="36" t="n">
        <f aca="false">F39/$E$7</f>
        <v>0.0348914952532754</v>
      </c>
    </row>
    <row r="40" customFormat="false" ht="16.5" hidden="false" customHeight="true" outlineLevel="0" collapsed="false">
      <c r="B40" s="22" t="str">
        <f aca="false">'Base Criciúma'!B17</f>
        <v>GEX/APS CRICIÚMA</v>
      </c>
      <c r="C40" s="24" t="n">
        <f aca="false">'Base Criciúma'!AO17</f>
        <v>1556.63547192779</v>
      </c>
      <c r="D40" s="24" t="n">
        <f aca="false">C40*3</f>
        <v>4669.90641578338</v>
      </c>
      <c r="E40" s="24" t="n">
        <f aca="false">C40+D40</f>
        <v>6226.54188771118</v>
      </c>
      <c r="F40" s="24" t="n">
        <f aca="false">C40*12</f>
        <v>18679.6256631335</v>
      </c>
      <c r="G40" s="24" t="n">
        <f aca="false">F40*3</f>
        <v>56038.8769894006</v>
      </c>
      <c r="H40" s="24" t="n">
        <f aca="false">F40+G40</f>
        <v>74718.5026525341</v>
      </c>
      <c r="I40" s="36" t="n">
        <f aca="false">F40/$E$7</f>
        <v>0.0492307301262509</v>
      </c>
    </row>
    <row r="41" customFormat="false" ht="16.5" hidden="false" customHeight="true" outlineLevel="0" collapsed="false">
      <c r="B41" s="22" t="str">
        <f aca="false">'Base Criciúma'!B18</f>
        <v>APS IMBITUBA</v>
      </c>
      <c r="C41" s="24" t="n">
        <f aca="false">'Base Criciúma'!AO18</f>
        <v>935.326722704482</v>
      </c>
      <c r="D41" s="24" t="n">
        <f aca="false">C41*3</f>
        <v>2805.98016811345</v>
      </c>
      <c r="E41" s="24" t="n">
        <f aca="false">C41+D41</f>
        <v>3741.30689081793</v>
      </c>
      <c r="F41" s="24" t="n">
        <f aca="false">C41*12</f>
        <v>11223.9206724538</v>
      </c>
      <c r="G41" s="24" t="n">
        <f aca="false">F41*3</f>
        <v>33671.7620173614</v>
      </c>
      <c r="H41" s="24" t="n">
        <f aca="false">F41+G41</f>
        <v>44895.6826898151</v>
      </c>
      <c r="I41" s="36" t="n">
        <f aca="false">F41/$E$7</f>
        <v>0.0295809894453381</v>
      </c>
    </row>
    <row r="42" customFormat="false" ht="16.5" hidden="false" customHeight="true" outlineLevel="0" collapsed="false">
      <c r="A42" s="41"/>
      <c r="B42" s="22" t="str">
        <f aca="false">'Base Criciúma'!B19</f>
        <v>APS SÃO JOAQUIM</v>
      </c>
      <c r="C42" s="24" t="n">
        <f aca="false">'Base Criciúma'!AO19</f>
        <v>1323.63128263979</v>
      </c>
      <c r="D42" s="24" t="n">
        <f aca="false">C42*3</f>
        <v>3970.89384791938</v>
      </c>
      <c r="E42" s="24" t="n">
        <f aca="false">C42+D42</f>
        <v>5294.52513055918</v>
      </c>
      <c r="F42" s="24" t="n">
        <f aca="false">C42*12</f>
        <v>15883.5753916775</v>
      </c>
      <c r="G42" s="24" t="n">
        <f aca="false">F42*3</f>
        <v>47650.7261750326</v>
      </c>
      <c r="H42" s="24" t="n">
        <f aca="false">F42+G42</f>
        <v>63534.3015667101</v>
      </c>
      <c r="I42" s="36" t="n">
        <f aca="false">F42/$E$7</f>
        <v>0.0418616533141201</v>
      </c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  <c r="FP42" s="42"/>
      <c r="FQ42" s="42"/>
      <c r="FR42" s="42"/>
      <c r="FS42" s="42"/>
      <c r="FT42" s="42"/>
      <c r="FU42" s="42"/>
      <c r="FV42" s="42"/>
      <c r="FW42" s="42"/>
      <c r="FX42" s="42"/>
      <c r="FY42" s="42"/>
      <c r="FZ42" s="42"/>
      <c r="GA42" s="42"/>
      <c r="GB42" s="42"/>
      <c r="GC42" s="42"/>
      <c r="GD42" s="42"/>
      <c r="GE42" s="42"/>
      <c r="GF42" s="42"/>
      <c r="GG42" s="42"/>
      <c r="GH42" s="42"/>
      <c r="GI42" s="42"/>
      <c r="GJ42" s="42"/>
      <c r="GK42" s="42"/>
      <c r="GL42" s="42"/>
      <c r="GM42" s="42"/>
      <c r="GN42" s="42"/>
      <c r="GO42" s="42"/>
      <c r="GP42" s="42"/>
      <c r="GQ42" s="42"/>
      <c r="GR42" s="42"/>
      <c r="GS42" s="42"/>
      <c r="GT42" s="42"/>
      <c r="GU42" s="42"/>
      <c r="GV42" s="42"/>
      <c r="GW42" s="42"/>
      <c r="GX42" s="42"/>
      <c r="GY42" s="42"/>
      <c r="GZ42" s="42"/>
      <c r="HA42" s="42"/>
      <c r="HB42" s="42"/>
      <c r="HC42" s="42"/>
      <c r="HD42" s="42"/>
      <c r="HE42" s="42"/>
      <c r="HF42" s="42"/>
      <c r="HG42" s="42"/>
      <c r="HH42" s="42"/>
      <c r="HI42" s="42"/>
      <c r="HJ42" s="42"/>
      <c r="HK42" s="42"/>
      <c r="HL42" s="42"/>
      <c r="HM42" s="42"/>
      <c r="HN42" s="42"/>
      <c r="HO42" s="42"/>
      <c r="HP42" s="42"/>
      <c r="HQ42" s="42"/>
      <c r="HR42" s="42"/>
      <c r="HS42" s="42"/>
      <c r="HT42" s="42"/>
      <c r="HU42" s="42"/>
      <c r="HV42" s="42"/>
      <c r="HW42" s="42"/>
      <c r="HX42" s="42"/>
      <c r="HY42" s="42"/>
      <c r="HZ42" s="42"/>
      <c r="IA42" s="42"/>
      <c r="IB42" s="42"/>
      <c r="IC42" s="42"/>
      <c r="ID42" s="42"/>
      <c r="IE42" s="42"/>
      <c r="IF42" s="42"/>
      <c r="IG42" s="42"/>
      <c r="IH42" s="42"/>
      <c r="II42" s="42"/>
      <c r="IJ42" s="42"/>
      <c r="IK42" s="42"/>
      <c r="IL42" s="42"/>
      <c r="IM42" s="42"/>
      <c r="IN42" s="42"/>
      <c r="IO42" s="42"/>
      <c r="IP42" s="41"/>
    </row>
    <row r="43" customFormat="false" ht="22.5" hidden="false" customHeight="true" outlineLevel="0" collapsed="false">
      <c r="B43" s="43" t="str">
        <f aca="false">"Total Base "&amp;B6</f>
        <v>Total Base CRICIÚMA</v>
      </c>
      <c r="C43" s="43" t="n">
        <f aca="false">SUM(C30:C42)</f>
        <v>13442.9065996387</v>
      </c>
      <c r="D43" s="43" t="n">
        <f aca="false">SUM(D30:D42)</f>
        <v>40328.7197989161</v>
      </c>
      <c r="E43" s="43" t="n">
        <f aca="false">SUM(E30:E42)</f>
        <v>53771.6263985547</v>
      </c>
      <c r="F43" s="43" t="n">
        <f aca="false">SUM(F30:F42)</f>
        <v>161314.879195664</v>
      </c>
      <c r="G43" s="43" t="n">
        <f aca="false">SUM(G30:G42)</f>
        <v>483944.637586993</v>
      </c>
      <c r="H43" s="43" t="n">
        <f aca="false">SUM(H30:H42)</f>
        <v>645259.516782657</v>
      </c>
      <c r="I43" s="44" t="n">
        <f aca="false">SUM(I30:I42)</f>
        <v>0.425150344351081</v>
      </c>
    </row>
    <row r="44" customFormat="false" ht="22.5" hidden="false" customHeight="true" outlineLevel="0" collapsed="false">
      <c r="B44" s="45"/>
      <c r="C44" s="39"/>
      <c r="D44" s="39"/>
      <c r="E44" s="39"/>
      <c r="F44" s="39"/>
      <c r="G44" s="39"/>
      <c r="H44" s="39"/>
      <c r="I44" s="40"/>
    </row>
  </sheetData>
  <mergeCells count="7">
    <mergeCell ref="B2:I2"/>
    <mergeCell ref="B9:B10"/>
    <mergeCell ref="C9:E9"/>
    <mergeCell ref="F9:H9"/>
    <mergeCell ref="B28:B29"/>
    <mergeCell ref="C28:E28"/>
    <mergeCell ref="F28:H28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E7" activeCellId="0" sqref="E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6" t="str">
        <f aca="false">"CÁLCULO DO CUSTO DA EQUIPE TÉCNICA PARA O "&amp;'Valor da Contratação'!B7&amp;""</f>
        <v>CÁLCULO DO CUSTO DA EQUIPE TÉCNICA PARA O POLO V</v>
      </c>
      <c r="C2" s="46"/>
      <c r="D2" s="46"/>
      <c r="E2" s="46"/>
    </row>
    <row r="3" customFormat="false" ht="15" hidden="false" customHeight="true" outlineLevel="0" collapsed="false">
      <c r="B3" s="47"/>
      <c r="C3" s="47"/>
      <c r="D3" s="47"/>
      <c r="E3" s="47"/>
    </row>
    <row r="4" customFormat="false" ht="45.75" hidden="false" customHeight="true" outlineLevel="0" collapsed="false">
      <c r="B4" s="48" t="s">
        <v>30</v>
      </c>
      <c r="C4" s="49" t="s">
        <v>31</v>
      </c>
      <c r="D4" s="49" t="s">
        <v>32</v>
      </c>
      <c r="E4" s="49" t="s">
        <v>33</v>
      </c>
    </row>
    <row r="5" customFormat="false" ht="19.5" hidden="false" customHeight="true" outlineLevel="0" collapsed="false">
      <c r="B5" s="48"/>
      <c r="C5" s="50" t="n">
        <v>127.85</v>
      </c>
      <c r="D5" s="50" t="n">
        <f aca="false">'Comp. Eng. Eletricista'!D11</f>
        <v>126.971875</v>
      </c>
      <c r="E5" s="50" t="n">
        <v>31.07</v>
      </c>
    </row>
    <row r="6" customFormat="false" ht="19.5" hidden="false" customHeight="true" outlineLevel="0" collapsed="false">
      <c r="B6" s="51" t="s">
        <v>34</v>
      </c>
      <c r="C6" s="52" t="n">
        <v>80</v>
      </c>
      <c r="D6" s="52" t="n">
        <v>16</v>
      </c>
      <c r="E6" s="52" t="n">
        <v>80</v>
      </c>
    </row>
    <row r="7" customFormat="false" ht="19.5" hidden="false" customHeight="true" outlineLevel="0" collapsed="false">
      <c r="B7" s="51" t="s">
        <v>35</v>
      </c>
      <c r="C7" s="50" t="n">
        <f aca="false">C5*C6</f>
        <v>10228</v>
      </c>
      <c r="D7" s="50" t="n">
        <f aca="false">D5*D6</f>
        <v>2031.55</v>
      </c>
      <c r="E7" s="50" t="n">
        <f aca="false">E5*E6</f>
        <v>2485.6</v>
      </c>
    </row>
    <row r="8" customFormat="false" ht="19.5" hidden="false" customHeight="true" outlineLevel="0" collapsed="false">
      <c r="B8" s="51" t="s">
        <v>36</v>
      </c>
      <c r="C8" s="50" t="n">
        <f aca="false">C5*C6*12</f>
        <v>122736</v>
      </c>
      <c r="D8" s="50" t="n">
        <f aca="false">D5*D6*12</f>
        <v>24378.6</v>
      </c>
      <c r="E8" s="50" t="n">
        <f aca="false">E5*E6*12</f>
        <v>29827.2</v>
      </c>
    </row>
    <row r="9" customFormat="false" ht="19.5" hidden="false" customHeight="true" outlineLevel="0" collapsed="false">
      <c r="B9" s="53" t="s">
        <v>37</v>
      </c>
      <c r="C9" s="54"/>
      <c r="D9" s="54"/>
      <c r="E9" s="54"/>
    </row>
    <row r="10" customFormat="false" ht="19.5" hidden="false" customHeight="true" outlineLevel="0" collapsed="false">
      <c r="C10" s="54"/>
      <c r="D10" s="54"/>
      <c r="E10" s="54"/>
    </row>
    <row r="11" customFormat="false" ht="19.5" hidden="false" customHeight="true" outlineLevel="0" collapsed="false">
      <c r="B11" s="48" t="s">
        <v>38</v>
      </c>
      <c r="C11" s="48"/>
      <c r="E11" s="54"/>
    </row>
    <row r="12" customFormat="false" ht="19.5" hidden="false" customHeight="true" outlineLevel="0" collapsed="false">
      <c r="B12" s="51" t="s">
        <v>39</v>
      </c>
      <c r="C12" s="50" t="n">
        <f aca="false">SUM(C7:E7)</f>
        <v>14745.15</v>
      </c>
      <c r="E12" s="54"/>
    </row>
    <row r="13" customFormat="false" ht="19.5" hidden="false" customHeight="true" outlineLevel="0" collapsed="false">
      <c r="B13" s="51" t="s">
        <v>40</v>
      </c>
      <c r="C13" s="50" t="n">
        <f aca="false">SUM(C8:E8)</f>
        <v>176941.8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A1:ALX27"/>
  <sheetViews>
    <sheetView showFormulas="false" showGridLines="false" showRowColHeaders="true" showZeros="true" rightToLeft="false" tabSelected="false" showOutlineSymbols="true" defaultGridColor="true" view="normal" topLeftCell="P1" colorId="64" zoomScale="90" zoomScaleNormal="90" zoomScalePageLayoutView="100" workbookViewId="0">
      <selection pane="topLeft" activeCell="W7" activeCellId="0" sqref="W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40.25"/>
    <col collapsed="false" customWidth="true" hidden="false" outlineLevel="0" max="15" min="3" style="16" width="12.62"/>
    <col collapsed="false" customWidth="false" hidden="false" outlineLevel="0" max="16" min="16" style="16" width="8.38"/>
    <col collapsed="false" customWidth="true" hidden="false" outlineLevel="0" max="17" min="17" style="16" width="37.38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7.62"/>
    <col collapsed="false" customWidth="true" hidden="false" outlineLevel="0" max="36" min="36" style="16" width="10.62"/>
    <col collapsed="false" customWidth="true" hidden="false" outlineLevel="0" max="40" min="37" style="16" width="11.75"/>
    <col collapsed="false" customWidth="true" hidden="false" outlineLevel="0" max="42" min="41" style="16" width="11.38"/>
    <col collapsed="false" customWidth="true" hidden="false" outlineLevel="0" max="43" min="43" style="16" width="12.88"/>
    <col collapsed="false" customWidth="true" hidden="false" outlineLevel="0" max="44" min="44" style="16" width="3.38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256" min="50" style="16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5" customFormat="true" ht="24.75" hidden="false" customHeight="true" outlineLevel="0" collapsed="false">
      <c r="B2" s="56" t="str">
        <f aca="false">"BASE "&amp;Resumo!B5&amp;" - PLANILHA DE FORMAÇÃO DE PREÇOS"</f>
        <v>BASE FLORIANÓPOLIS - PLANILHA DE FORMAÇÃO DE PREÇOS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7"/>
      <c r="Q2" s="46" t="str">
        <f aca="false">"BASE "&amp;Resumo!B5&amp;" – PLANILHA DE DISTRIBUIÇÃO DE CUSTOS POR UNIDADE"</f>
        <v>BASE FLORIANÓPOLIS – PLANILHA DE DISTRIBUIÇÃO DE CUSTOS POR UNIDADE</v>
      </c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58"/>
      <c r="AI2" s="59" t="str">
        <f aca="false">"BASE "&amp;Resumo!B5&amp;" – PLANILHA RESUMO DE CUSTOS DA BASE"</f>
        <v>BASE FLORIANÓPOLIS – PLANILHA RESUMO DE CUSTOS DA BASE</v>
      </c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</row>
    <row r="3" customFormat="false" ht="15" hidden="false" customHeight="true" outlineLevel="0" collapsed="false">
      <c r="B3" s="55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</row>
    <row r="4" s="33" customFormat="true" ht="19.5" hidden="false" customHeight="true" outlineLevel="0" collapsed="false">
      <c r="B4" s="49" t="s">
        <v>41</v>
      </c>
      <c r="C4" s="49" t="s">
        <v>42</v>
      </c>
      <c r="D4" s="49"/>
      <c r="E4" s="49"/>
      <c r="F4" s="49"/>
      <c r="G4" s="49"/>
      <c r="H4" s="49" t="s">
        <v>43</v>
      </c>
      <c r="I4" s="49"/>
      <c r="J4" s="49"/>
      <c r="K4" s="49"/>
      <c r="L4" s="49"/>
      <c r="M4" s="49"/>
      <c r="N4" s="49"/>
      <c r="O4" s="49" t="s">
        <v>28</v>
      </c>
      <c r="P4" s="57"/>
      <c r="Q4" s="49" t="s">
        <v>44</v>
      </c>
      <c r="R4" s="60" t="s">
        <v>45</v>
      </c>
      <c r="S4" s="60"/>
      <c r="T4" s="60"/>
      <c r="U4" s="60"/>
      <c r="V4" s="60" t="s">
        <v>46</v>
      </c>
      <c r="W4" s="60"/>
      <c r="X4" s="60"/>
      <c r="Y4" s="60"/>
      <c r="Z4" s="60" t="s">
        <v>47</v>
      </c>
      <c r="AA4" s="60"/>
      <c r="AB4" s="60"/>
      <c r="AC4" s="60"/>
      <c r="AD4" s="60" t="s">
        <v>48</v>
      </c>
      <c r="AE4" s="60"/>
      <c r="AF4" s="60"/>
      <c r="AG4" s="60"/>
      <c r="AI4" s="49" t="s">
        <v>44</v>
      </c>
      <c r="AJ4" s="61" t="s">
        <v>49</v>
      </c>
      <c r="AK4" s="61"/>
      <c r="AL4" s="61"/>
      <c r="AM4" s="61"/>
      <c r="AN4" s="61"/>
      <c r="AO4" s="61" t="s">
        <v>50</v>
      </c>
      <c r="AP4" s="61"/>
      <c r="AQ4" s="61"/>
      <c r="AR4" s="62"/>
      <c r="AS4" s="61" t="str">
        <f aca="false">"Resumo de Custos da Base "&amp;Resumo!B5</f>
        <v>Resumo de Custos da Base FLORIANÓPOLIS</v>
      </c>
      <c r="AT4" s="61"/>
      <c r="AU4" s="61"/>
      <c r="AV4" s="61"/>
      <c r="AW4" s="61"/>
    </row>
    <row r="5" customFormat="false" ht="39.75" hidden="false" customHeight="true" outlineLevel="0" collapsed="false">
      <c r="B5" s="49"/>
      <c r="C5" s="49" t="s">
        <v>28</v>
      </c>
      <c r="D5" s="49" t="s">
        <v>51</v>
      </c>
      <c r="E5" s="49" t="s">
        <v>52</v>
      </c>
      <c r="F5" s="49" t="s">
        <v>53</v>
      </c>
      <c r="G5" s="49" t="s">
        <v>54</v>
      </c>
      <c r="H5" s="49" t="s">
        <v>55</v>
      </c>
      <c r="I5" s="49" t="s">
        <v>56</v>
      </c>
      <c r="J5" s="49" t="s">
        <v>57</v>
      </c>
      <c r="K5" s="49" t="s">
        <v>58</v>
      </c>
      <c r="L5" s="49" t="s">
        <v>59</v>
      </c>
      <c r="M5" s="49" t="s">
        <v>60</v>
      </c>
      <c r="N5" s="49" t="s">
        <v>61</v>
      </c>
      <c r="O5" s="49"/>
      <c r="P5" s="57"/>
      <c r="Q5" s="49"/>
      <c r="R5" s="49" t="s">
        <v>62</v>
      </c>
      <c r="S5" s="49" t="s">
        <v>63</v>
      </c>
      <c r="T5" s="49" t="s">
        <v>64</v>
      </c>
      <c r="U5" s="49" t="s">
        <v>65</v>
      </c>
      <c r="V5" s="49" t="s">
        <v>66</v>
      </c>
      <c r="W5" s="49" t="s">
        <v>67</v>
      </c>
      <c r="X5" s="49" t="s">
        <v>68</v>
      </c>
      <c r="Y5" s="49" t="s">
        <v>69</v>
      </c>
      <c r="Z5" s="49" t="s">
        <v>70</v>
      </c>
      <c r="AA5" s="49"/>
      <c r="AB5" s="49"/>
      <c r="AC5" s="49" t="n">
        <f aca="false">N22+'Base Criciúma'!N20</f>
        <v>1101.05</v>
      </c>
      <c r="AD5" s="60" t="s">
        <v>62</v>
      </c>
      <c r="AE5" s="60" t="s">
        <v>63</v>
      </c>
      <c r="AF5" s="60" t="s">
        <v>64</v>
      </c>
      <c r="AG5" s="60" t="s">
        <v>65</v>
      </c>
      <c r="AI5" s="49"/>
      <c r="AJ5" s="60" t="s">
        <v>71</v>
      </c>
      <c r="AK5" s="60" t="s">
        <v>62</v>
      </c>
      <c r="AL5" s="60" t="s">
        <v>63</v>
      </c>
      <c r="AM5" s="60" t="s">
        <v>64</v>
      </c>
      <c r="AN5" s="60" t="s">
        <v>65</v>
      </c>
      <c r="AO5" s="60" t="s">
        <v>72</v>
      </c>
      <c r="AP5" s="60" t="s">
        <v>73</v>
      </c>
      <c r="AQ5" s="60" t="s">
        <v>74</v>
      </c>
      <c r="AR5" s="58"/>
      <c r="AS5" s="60" t="s">
        <v>75</v>
      </c>
      <c r="AT5" s="60" t="s">
        <v>62</v>
      </c>
      <c r="AU5" s="60" t="s">
        <v>63</v>
      </c>
      <c r="AV5" s="60" t="s">
        <v>64</v>
      </c>
      <c r="AW5" s="60" t="s">
        <v>65</v>
      </c>
    </row>
    <row r="6" customFormat="false" ht="19.5" hidden="false" customHeight="true" outlineLevel="0" collapsed="false">
      <c r="B6" s="49"/>
      <c r="C6" s="63" t="s">
        <v>76</v>
      </c>
      <c r="D6" s="63" t="n">
        <v>1</v>
      </c>
      <c r="E6" s="63" t="n">
        <v>0.35</v>
      </c>
      <c r="F6" s="63" t="n">
        <v>0.1</v>
      </c>
      <c r="G6" s="49"/>
      <c r="H6" s="63" t="n">
        <v>1</v>
      </c>
      <c r="I6" s="63" t="n">
        <v>1.2</v>
      </c>
      <c r="J6" s="63" t="n">
        <v>2</v>
      </c>
      <c r="K6" s="63" t="n">
        <v>4</v>
      </c>
      <c r="L6" s="63" t="n">
        <v>1.1</v>
      </c>
      <c r="M6" s="63" t="n">
        <v>1.1</v>
      </c>
      <c r="N6" s="49"/>
      <c r="O6" s="49"/>
      <c r="P6" s="64"/>
      <c r="Q6" s="49"/>
      <c r="R6" s="63" t="s">
        <v>77</v>
      </c>
      <c r="S6" s="63" t="s">
        <v>78</v>
      </c>
      <c r="T6" s="63" t="s">
        <v>79</v>
      </c>
      <c r="U6" s="63" t="s">
        <v>80</v>
      </c>
      <c r="V6" s="49"/>
      <c r="W6" s="49"/>
      <c r="X6" s="49"/>
      <c r="Y6" s="49"/>
      <c r="Z6" s="35" t="s">
        <v>62</v>
      </c>
      <c r="AA6" s="35" t="s">
        <v>63</v>
      </c>
      <c r="AB6" s="35" t="s">
        <v>64</v>
      </c>
      <c r="AC6" s="35" t="s">
        <v>65</v>
      </c>
      <c r="AD6" s="60"/>
      <c r="AE6" s="60"/>
      <c r="AF6" s="60"/>
      <c r="AG6" s="60"/>
      <c r="AI6" s="49"/>
      <c r="AJ6" s="60"/>
      <c r="AK6" s="60"/>
      <c r="AL6" s="60"/>
      <c r="AM6" s="60"/>
      <c r="AN6" s="60"/>
      <c r="AO6" s="60"/>
      <c r="AP6" s="60"/>
      <c r="AQ6" s="60"/>
      <c r="AR6" s="65"/>
      <c r="AS6" s="60"/>
      <c r="AT6" s="35" t="s">
        <v>77</v>
      </c>
      <c r="AU6" s="35" t="s">
        <v>78</v>
      </c>
      <c r="AV6" s="35" t="s">
        <v>79</v>
      </c>
      <c r="AW6" s="35" t="s">
        <v>80</v>
      </c>
    </row>
    <row r="7" s="2" customFormat="true" ht="15" hidden="false" customHeight="true" outlineLevel="0" collapsed="false">
      <c r="B7" s="22" t="s">
        <v>81</v>
      </c>
      <c r="C7" s="66" t="n">
        <f aca="false">VLOOKUP($B7,Unidades!$D$5:$N$32,6,FALSE())</f>
        <v>241.15</v>
      </c>
      <c r="D7" s="66" t="n">
        <f aca="false">VLOOKUP($B7,Unidades!$D$5:$N$32,7,FALSE())</f>
        <v>191.95</v>
      </c>
      <c r="E7" s="66" t="n">
        <f aca="false">VLOOKUP($B7,Unidades!$D$5:$N$32,8,FALSE())</f>
        <v>38.5</v>
      </c>
      <c r="F7" s="66" t="n">
        <f aca="false">VLOOKUP($B7,Unidades!$D$5:$N$32,9,FALSE())</f>
        <v>10.7</v>
      </c>
      <c r="G7" s="66" t="n">
        <f aca="false">D7+E7*$E$6+F7*$F$6</f>
        <v>206.495</v>
      </c>
      <c r="H7" s="67" t="n">
        <f aca="false">IF(G7&lt;750,1.5,IF(G7&lt;2000,2,3))</f>
        <v>1.5</v>
      </c>
      <c r="I7" s="67" t="n">
        <f aca="false">$I$6*H7</f>
        <v>1.8</v>
      </c>
      <c r="J7" s="67" t="str">
        <f aca="false">VLOOKUP($B7,Unidades!$D$5:$N$32,10,FALSE())</f>
        <v>NÃO</v>
      </c>
      <c r="K7" s="67" t="str">
        <f aca="false">VLOOKUP($B7,Unidades!$D$5:$N$32,11,FALSE())</f>
        <v>NÃO</v>
      </c>
      <c r="L7" s="67" t="n">
        <f aca="false">$L$6*H7+(IF(J7="SIM",$J$6,0))</f>
        <v>1.65</v>
      </c>
      <c r="M7" s="67" t="n">
        <f aca="false">$M$6*H7+(IF(J7="SIM",$J$6,0))+(IF(K7="SIM",$K$6,0))</f>
        <v>1.65</v>
      </c>
      <c r="N7" s="67" t="n">
        <f aca="false">H7*12+I7*4+L7*2+M7</f>
        <v>30.15</v>
      </c>
      <c r="O7" s="68" t="n">
        <f aca="false">IF(K7="não", N7*(C$25+D$25),N7*(C$25+D$25)+(M7*+E$25))</f>
        <v>1703.475</v>
      </c>
      <c r="P7" s="69"/>
      <c r="Q7" s="22" t="str">
        <f aca="false">B7</f>
        <v>APS ALFREDO WAGNER</v>
      </c>
      <c r="R7" s="24" t="n">
        <f aca="false">H7*($C$25+$D$25)</f>
        <v>84.75</v>
      </c>
      <c r="S7" s="24" t="n">
        <f aca="false">I7*($C$25+$D$25)</f>
        <v>101.7</v>
      </c>
      <c r="T7" s="24" t="n">
        <f aca="false">L7*($C$25+$D$25)</f>
        <v>93.225</v>
      </c>
      <c r="U7" s="24" t="n">
        <f aca="false">IF(K7="não",M7*($C$25+$D$25),M7*(C$25+D$25+E$25))</f>
        <v>93.225</v>
      </c>
      <c r="V7" s="24" t="n">
        <f aca="false">VLOOKUP(Q7,'Desl. Base Florianópolis'!$C$5:$S$19,13,FALSE())*($C$25+$D$25+$E$25*(VLOOKUP(Q7,'Desl. Base Florianópolis'!$C$5:$S$19,17,FALSE())/12))</f>
        <v>219.721944444444</v>
      </c>
      <c r="W7" s="24" t="n">
        <f aca="false">VLOOKUP(Q7,'Desl. Base Florianópolis'!$C$5:$S$19,15,FALSE())*(2+(VLOOKUP(Q7,'Desl. Base Florianópolis'!$C$5:$S$19,17,FALSE())/12))</f>
        <v>138.270833333333</v>
      </c>
      <c r="X7" s="24" t="n">
        <f aca="false">VLOOKUP(Q7,'Desl. Base Florianópolis'!$C$5:$Q$19,14,FALSE())</f>
        <v>0</v>
      </c>
      <c r="Y7" s="24" t="n">
        <f aca="false">VLOOKUP(Q7,'Desl. Base Florianópolis'!$C$5:$Q$19,13,FALSE())*'Desl. Base Florianópolis'!$E$24+'Desl. Base Florianópolis'!$E$25*N7/12</f>
        <v>208.201875</v>
      </c>
      <c r="Z7" s="24" t="n">
        <f aca="false">(H7/$AC$5)*'Equipe Técnica'!$C$13</f>
        <v>241.054175559693</v>
      </c>
      <c r="AA7" s="24" t="n">
        <f aca="false">(I7/$AC$5)*'Equipe Técnica'!$C$13</f>
        <v>289.265010671632</v>
      </c>
      <c r="AB7" s="24" t="n">
        <f aca="false">(L7/$AC$5)*'Equipe Técnica'!$C$13</f>
        <v>265.159593115662</v>
      </c>
      <c r="AC7" s="24" t="n">
        <f aca="false">(M7/$AC$5)*'Equipe Técnica'!$C$13</f>
        <v>265.159593115662</v>
      </c>
      <c r="AD7" s="24" t="n">
        <f aca="false">R7+(($V7+$W7+$X7+$Y7)*12/19)+$Z7</f>
        <v>683.40079836671</v>
      </c>
      <c r="AE7" s="24" t="n">
        <f aca="false">S7+(($V7+$W7+$X7+$Y7)*12/19)+$AA7</f>
        <v>748.561633478649</v>
      </c>
      <c r="AF7" s="24" t="n">
        <f aca="false">T7+(($V7+$W7+$X7+$Y7)*12/19)+$AB7</f>
        <v>715.981215922679</v>
      </c>
      <c r="AG7" s="24" t="n">
        <f aca="false">U7+(($V7+$W7+$X7+$Y7)*12/19)+$AC7</f>
        <v>715.981215922679</v>
      </c>
      <c r="AI7" s="22" t="str">
        <f aca="false">B7</f>
        <v>APS ALFREDO WAGNER</v>
      </c>
      <c r="AJ7" s="70" t="n">
        <f aca="false">VLOOKUP(AI7,Unidades!D$5:H$32,5,)</f>
        <v>0.2624</v>
      </c>
      <c r="AK7" s="50" t="n">
        <f aca="false">AD7*(1+$AJ7)</f>
        <v>862.725167858135</v>
      </c>
      <c r="AL7" s="50" t="n">
        <f aca="false">AE7*(1+$AJ7)</f>
        <v>944.984206103446</v>
      </c>
      <c r="AM7" s="50" t="n">
        <f aca="false">AF7*(1+$AJ7)</f>
        <v>903.854686980791</v>
      </c>
      <c r="AN7" s="50" t="n">
        <f aca="false">AG7*(1+$AJ7)</f>
        <v>903.854686980791</v>
      </c>
      <c r="AO7" s="50" t="n">
        <f aca="false">((AK7*12)+(AL7*4)+(AM7*2)+AN7)/12</f>
        <v>1403.68357497115</v>
      </c>
      <c r="AP7" s="50" t="n">
        <f aca="false">AO7*3</f>
        <v>4211.05072491344</v>
      </c>
      <c r="AQ7" s="50" t="n">
        <f aca="false">AO7+AP7</f>
        <v>5614.73429988459</v>
      </c>
      <c r="AR7" s="71"/>
      <c r="AS7" s="72" t="s">
        <v>82</v>
      </c>
      <c r="AT7" s="50" t="n">
        <f aca="false">AK22</f>
        <v>10075.4570213542</v>
      </c>
      <c r="AU7" s="50" t="n">
        <f aca="false">AL22</f>
        <v>11580.4225292387</v>
      </c>
      <c r="AV7" s="50" t="n">
        <f aca="false">AM22</f>
        <v>13517.0405592527</v>
      </c>
      <c r="AW7" s="50" t="n">
        <f aca="false">AN22</f>
        <v>23854.0629804266</v>
      </c>
    </row>
    <row r="8" s="2" customFormat="true" ht="15" hidden="false" customHeight="true" outlineLevel="0" collapsed="false">
      <c r="B8" s="22" t="s">
        <v>83</v>
      </c>
      <c r="C8" s="66" t="n">
        <f aca="false">VLOOKUP($B8,Unidades!$D$5:$N$32,6,FALSE())</f>
        <v>2070.39</v>
      </c>
      <c r="D8" s="66" t="n">
        <f aca="false">VLOOKUP($B8,Unidades!$D$5:$N$32,7,FALSE())</f>
        <v>1389.42</v>
      </c>
      <c r="E8" s="66" t="n">
        <f aca="false">VLOOKUP($B8,Unidades!$D$5:$N$32,8,FALSE())</f>
        <v>680.97</v>
      </c>
      <c r="F8" s="66" t="n">
        <f aca="false">VLOOKUP($B8,Unidades!$D$5:$N$32,9,FALSE())</f>
        <v>0</v>
      </c>
      <c r="G8" s="66" t="n">
        <f aca="false">D8+E8*$E$6+F8*$F$6</f>
        <v>1627.7595</v>
      </c>
      <c r="H8" s="67" t="n">
        <f aca="false">IF(G8&lt;750,1.5,IF(G8&lt;2000,2,3))</f>
        <v>2</v>
      </c>
      <c r="I8" s="67" t="n">
        <f aca="false">$I$6*H8</f>
        <v>2.4</v>
      </c>
      <c r="J8" s="67" t="str">
        <f aca="false">VLOOKUP($B8,Unidades!$D$5:$N$32,10,FALSE())</f>
        <v>SIM</v>
      </c>
      <c r="K8" s="67" t="str">
        <f aca="false">VLOOKUP($B8,Unidades!$D$5:$N$32,11,FALSE())</f>
        <v>SIM</v>
      </c>
      <c r="L8" s="67" t="n">
        <f aca="false">$L$6*H8+(IF(J8="SIM",$J$6,0))</f>
        <v>4.2</v>
      </c>
      <c r="M8" s="67" t="n">
        <f aca="false">$M$6*H8+(IF(J8="SIM",$J$6,0))+(IF(K8="SIM",$K$6,0))</f>
        <v>8.2</v>
      </c>
      <c r="N8" s="67" t="n">
        <f aca="false">H8*12+I8*4+L8*2+M8</f>
        <v>50.2</v>
      </c>
      <c r="O8" s="68" t="n">
        <f aca="false">IF(K8="não", N8*(C$25+D$25),N8*(C$25+D$25)+(M8*+E$25))</f>
        <v>3173.238</v>
      </c>
      <c r="P8" s="69"/>
      <c r="Q8" s="22" t="str">
        <f aca="false">B8</f>
        <v>APS BI – FLORIANÓPOLIS</v>
      </c>
      <c r="R8" s="24" t="n">
        <f aca="false">H8*($C$25+$D$25)</f>
        <v>113</v>
      </c>
      <c r="S8" s="24" t="n">
        <f aca="false">I8*($C$25+$D$25)</f>
        <v>135.6</v>
      </c>
      <c r="T8" s="24" t="n">
        <f aca="false">L8*($C$25+$D$25)</f>
        <v>237.3</v>
      </c>
      <c r="U8" s="24" t="n">
        <f aca="false">IF(K8="não",M8*($C$25+$D$25),M8*(C$25+D$25+E$25))</f>
        <v>800.238</v>
      </c>
      <c r="V8" s="24" t="n">
        <f aca="false">VLOOKUP(Q8,'Desl. Base Florianópolis'!$C$5:$S$19,13,FALSE())*($C$25+$D$25+$E$25*(VLOOKUP(Q8,'Desl. Base Florianópolis'!$C$5:$S$19,17,FALSE())/12))</f>
        <v>20.9734583333333</v>
      </c>
      <c r="W8" s="24" t="n">
        <f aca="false">VLOOKUP(Q8,'Desl. Base Florianópolis'!$C$5:$S$19,15,FALSE())*(2+(VLOOKUP(Q8,'Desl. Base Florianópolis'!$C$5:$S$19,17,FALSE())/12))</f>
        <v>0</v>
      </c>
      <c r="X8" s="24" t="n">
        <f aca="false">VLOOKUP(Q8,'Desl. Base Florianópolis'!$C$5:$Q$19,14,FALSE())</f>
        <v>0</v>
      </c>
      <c r="Y8" s="24" t="n">
        <f aca="false">VLOOKUP(Q8,'Desl. Base Florianópolis'!$C$5:$Q$19,13,FALSE())*'Desl. Base Florianópolis'!$E$24+'Desl. Base Florianópolis'!$E$25*N8/12</f>
        <v>47.2811666666667</v>
      </c>
      <c r="Z8" s="24" t="n">
        <f aca="false">(H8/$AC$5)*'Equipe Técnica'!$C$13</f>
        <v>321.405567412924</v>
      </c>
      <c r="AA8" s="24" t="n">
        <f aca="false">(I8/$AC$5)*'Equipe Técnica'!$C$13</f>
        <v>385.686680895509</v>
      </c>
      <c r="AB8" s="24" t="n">
        <f aca="false">(L8/$AC$5)*'Equipe Técnica'!$C$13</f>
        <v>674.95169156714</v>
      </c>
      <c r="AC8" s="24" t="n">
        <f aca="false">(M8/$AC$5)*'Equipe Técnica'!$C$13</f>
        <v>1317.76282639299</v>
      </c>
      <c r="AD8" s="24" t="n">
        <f aca="false">R8+(($V8+$W8+$X8+$Y8)*12/19)+$Z8</f>
        <v>477.51375162345</v>
      </c>
      <c r="AE8" s="24" t="n">
        <f aca="false">S8+(($V8+$W8+$X8+$Y8)*12/19)+$AA8</f>
        <v>564.394865106035</v>
      </c>
      <c r="AF8" s="24" t="n">
        <f aca="false">T8+(($V8+$W8+$X8+$Y8)*12/19)+$AB8</f>
        <v>955.359875777667</v>
      </c>
      <c r="AG8" s="24" t="n">
        <f aca="false">U8+(($V8+$W8+$X8+$Y8)*12/19)+$AC8</f>
        <v>2161.10901060352</v>
      </c>
      <c r="AI8" s="22" t="str">
        <f aca="false">B8</f>
        <v>APS BI – FLORIANÓPOLIS</v>
      </c>
      <c r="AJ8" s="70" t="n">
        <f aca="false">VLOOKUP(AI8,Unidades!D$5:H$32,5,)</f>
        <v>0.2354</v>
      </c>
      <c r="AK8" s="50" t="n">
        <f aca="false">AD8*(1+$AJ8)</f>
        <v>589.92048875561</v>
      </c>
      <c r="AL8" s="50" t="n">
        <f aca="false">AE8*(1+$AJ8)</f>
        <v>697.253416351996</v>
      </c>
      <c r="AM8" s="50" t="n">
        <f aca="false">AF8*(1+$AJ8)</f>
        <v>1180.25159053573</v>
      </c>
      <c r="AN8" s="50" t="n">
        <f aca="false">AG8*(1+$AJ8)</f>
        <v>2669.83407169958</v>
      </c>
      <c r="AO8" s="50" t="n">
        <f aca="false">((AK8*12)+(AL8*4)+(AM8*2)+AN8)/12</f>
        <v>1241.53306527053</v>
      </c>
      <c r="AP8" s="50" t="n">
        <f aca="false">AO8*3</f>
        <v>3724.59919581159</v>
      </c>
      <c r="AQ8" s="50" t="n">
        <f aca="false">AO8+AP8</f>
        <v>4966.13226108212</v>
      </c>
      <c r="AR8" s="71"/>
      <c r="AS8" s="72" t="s">
        <v>84</v>
      </c>
      <c r="AT8" s="50" t="n">
        <f aca="false">AT7*12</f>
        <v>120905.48425625</v>
      </c>
      <c r="AU8" s="50" t="n">
        <f aca="false">AU7*4</f>
        <v>46321.6901169548</v>
      </c>
      <c r="AV8" s="50" t="n">
        <f aca="false">AV7*2</f>
        <v>27034.0811185053</v>
      </c>
      <c r="AW8" s="50" t="n">
        <f aca="false">AW7</f>
        <v>23854.0629804266</v>
      </c>
    </row>
    <row r="9" s="2" customFormat="true" ht="15" hidden="false" customHeight="true" outlineLevel="0" collapsed="false">
      <c r="B9" s="22" t="s">
        <v>85</v>
      </c>
      <c r="C9" s="66" t="n">
        <f aca="false">VLOOKUP($B9,Unidades!$D$5:$N$32,6,FALSE())</f>
        <v>365.39</v>
      </c>
      <c r="D9" s="66" t="n">
        <f aca="false">VLOOKUP($B9,Unidades!$D$5:$N$32,7,FALSE())</f>
        <v>315.19</v>
      </c>
      <c r="E9" s="66" t="n">
        <f aca="false">VLOOKUP($B9,Unidades!$D$5:$N$32,8,FALSE())</f>
        <v>50.2</v>
      </c>
      <c r="F9" s="66" t="n">
        <f aca="false">VLOOKUP($B9,Unidades!$D$5:$N$32,9,FALSE())</f>
        <v>0</v>
      </c>
      <c r="G9" s="66" t="n">
        <f aca="false">D9+E9*$E$6+F9*$F$6</f>
        <v>332.76</v>
      </c>
      <c r="H9" s="67" t="n">
        <f aca="false">IF(G9&lt;750,1.5,IF(G9&lt;2000,2,3))</f>
        <v>1.5</v>
      </c>
      <c r="I9" s="67" t="n">
        <f aca="false">$I$6*H9</f>
        <v>1.8</v>
      </c>
      <c r="J9" s="67" t="str">
        <f aca="false">VLOOKUP($B9,Unidades!$D$7:$N$32,10,FALSE())</f>
        <v>NÃO</v>
      </c>
      <c r="K9" s="67" t="str">
        <f aca="false">VLOOKUP($B9,Unidades!$D$7:$N$32,11,FALSE())</f>
        <v>NÃO</v>
      </c>
      <c r="L9" s="67" t="n">
        <f aca="false">$L$6*H9+(IF(J9="SIM",$J$6,0))</f>
        <v>1.65</v>
      </c>
      <c r="M9" s="67" t="n">
        <f aca="false">$M$6*H9+(IF(J9="SIM",$J$6,0))+(IF(K9="SIM",$K$6,0))</f>
        <v>1.65</v>
      </c>
      <c r="N9" s="67" t="n">
        <f aca="false">H9*12+I9*4+L9*2+M9</f>
        <v>30.15</v>
      </c>
      <c r="O9" s="68" t="n">
        <f aca="false">IF(K9="não", N9*(C$25+D$25),N9*(C$25+D$25)+(M9*+E$25))</f>
        <v>1703.475</v>
      </c>
      <c r="P9" s="69"/>
      <c r="Q9" s="22" t="str">
        <f aca="false">B9</f>
        <v>APS BIGUAÇU</v>
      </c>
      <c r="R9" s="24" t="n">
        <f aca="false">H9*($C$25+$D$25)</f>
        <v>84.75</v>
      </c>
      <c r="S9" s="24" t="n">
        <f aca="false">I9*($C$25+$D$25)</f>
        <v>101.7</v>
      </c>
      <c r="T9" s="24" t="n">
        <f aca="false">L9*($C$25+$D$25)</f>
        <v>93.225</v>
      </c>
      <c r="U9" s="24" t="n">
        <f aca="false">IF(K9="não",M9*($C$25+$D$25),M9*(C$25+D$25+E$25))</f>
        <v>93.225</v>
      </c>
      <c r="V9" s="24" t="n">
        <f aca="false">VLOOKUP(Q9,'Desl. Base Florianópolis'!$C$5:$S$19,13,FALSE())*($C$25+$D$25+$E$25*(VLOOKUP(Q9,'Desl. Base Florianópolis'!$C$5:$S$19,17,FALSE())/12))</f>
        <v>20.9734583333333</v>
      </c>
      <c r="W9" s="24" t="n">
        <f aca="false">VLOOKUP(Q9,'Desl. Base Florianópolis'!$C$5:$S$19,15,FALSE())*(2+(VLOOKUP(Q9,'Desl. Base Florianópolis'!$C$5:$S$19,17,FALSE())/12))</f>
        <v>0</v>
      </c>
      <c r="X9" s="24" t="n">
        <f aca="false">VLOOKUP(Q9,'Desl. Base Florianópolis'!$C$5:$Q$19,14,FALSE())</f>
        <v>0</v>
      </c>
      <c r="Y9" s="24" t="n">
        <f aca="false">VLOOKUP(Q9,'Desl. Base Florianópolis'!$C$5:$Q$19,13,FALSE())*'Desl. Base Florianópolis'!$E$24+'Desl. Base Florianópolis'!$E$25*N9/12</f>
        <v>35.668875</v>
      </c>
      <c r="Z9" s="24" t="n">
        <f aca="false">(H9/$AC$5)*'Equipe Técnica'!$C$13</f>
        <v>241.054175559693</v>
      </c>
      <c r="AA9" s="24" t="n">
        <f aca="false">(I9/$AC$5)*'Equipe Técnica'!$C$13</f>
        <v>289.265010671632</v>
      </c>
      <c r="AB9" s="24" t="n">
        <f aca="false">(L9/$AC$5)*'Equipe Técnica'!$C$13</f>
        <v>265.159593115662</v>
      </c>
      <c r="AC9" s="24" t="n">
        <f aca="false">(M9/$AC$5)*'Equipe Técnica'!$C$13</f>
        <v>265.159593115662</v>
      </c>
      <c r="AD9" s="24" t="n">
        <f aca="false">R9+(($V9+$W9+$X9+$Y9)*12/19)+$Z9</f>
        <v>361.578280822851</v>
      </c>
      <c r="AE9" s="24" t="n">
        <f aca="false">S9+(($V9+$W9+$X9+$Y9)*12/19)+$AA9</f>
        <v>426.73911593479</v>
      </c>
      <c r="AF9" s="24" t="n">
        <f aca="false">T9+(($V9+$W9+$X9+$Y9)*12/19)+$AB9</f>
        <v>394.15869837882</v>
      </c>
      <c r="AG9" s="24" t="n">
        <f aca="false">U9+(($V9+$W9+$X9+$Y9)*12/19)+$AC9</f>
        <v>394.15869837882</v>
      </c>
      <c r="AI9" s="22" t="str">
        <f aca="false">B9</f>
        <v>APS BIGUAÇU</v>
      </c>
      <c r="AJ9" s="70" t="n">
        <f aca="false">VLOOKUP(AI9,Unidades!D$5:H$32,5,)</f>
        <v>0.2624</v>
      </c>
      <c r="AK9" s="50" t="n">
        <f aca="false">AD9*(1+$AJ9)</f>
        <v>456.456421710767</v>
      </c>
      <c r="AL9" s="50" t="n">
        <f aca="false">AE9*(1+$AJ9)</f>
        <v>538.715459956078</v>
      </c>
      <c r="AM9" s="50" t="n">
        <f aca="false">AF9*(1+$AJ9)</f>
        <v>497.585940833423</v>
      </c>
      <c r="AN9" s="50" t="n">
        <f aca="false">AG9*(1+$AJ9)</f>
        <v>497.585940833423</v>
      </c>
      <c r="AO9" s="50" t="n">
        <f aca="false">((AK9*12)+(AL9*4)+(AM9*2)+AN9)/12</f>
        <v>760.424726904482</v>
      </c>
      <c r="AP9" s="50" t="n">
        <f aca="false">AO9*3</f>
        <v>2281.27418071345</v>
      </c>
      <c r="AQ9" s="50" t="n">
        <f aca="false">AO9+AP9</f>
        <v>3041.69890761793</v>
      </c>
      <c r="AR9" s="71"/>
      <c r="AS9" s="71"/>
      <c r="AT9" s="73"/>
      <c r="AU9" s="73"/>
      <c r="AV9" s="73"/>
      <c r="AW9" s="73"/>
    </row>
    <row r="10" s="2" customFormat="true" ht="15" hidden="false" customHeight="true" outlineLevel="0" collapsed="false">
      <c r="B10" s="22" t="s">
        <v>86</v>
      </c>
      <c r="C10" s="66" t="n">
        <f aca="false">VLOOKUP($B10,Unidades!$D$5:$N$32,6,FALSE())</f>
        <v>2072.94</v>
      </c>
      <c r="D10" s="66" t="n">
        <f aca="false">VLOOKUP($B10,Unidades!$D$5:$N$32,7,FALSE())</f>
        <v>742.17</v>
      </c>
      <c r="E10" s="66" t="n">
        <f aca="false">VLOOKUP($B10,Unidades!$D$5:$N$32,8,FALSE())</f>
        <v>695</v>
      </c>
      <c r="F10" s="66" t="n">
        <f aca="false">VLOOKUP($B10,Unidades!$D$5:$N$32,9,FALSE())</f>
        <v>635.77</v>
      </c>
      <c r="G10" s="66" t="n">
        <f aca="false">D10+E10*$E$6+F10*$F$6</f>
        <v>1048.997</v>
      </c>
      <c r="H10" s="67" t="n">
        <f aca="false">IF(G10&lt;750,1.5,IF(G10&lt;2000,2,3))</f>
        <v>2</v>
      </c>
      <c r="I10" s="67" t="n">
        <f aca="false">$I$6*H10</f>
        <v>2.4</v>
      </c>
      <c r="J10" s="67" t="str">
        <f aca="false">VLOOKUP($B10,Unidades!$D$7:$N$32,10,FALSE())</f>
        <v>SIM</v>
      </c>
      <c r="K10" s="67" t="str">
        <f aca="false">VLOOKUP($B10,Unidades!$D$7:$N$32,11,FALSE())</f>
        <v>SIM</v>
      </c>
      <c r="L10" s="67" t="n">
        <f aca="false">$L$6*H10+(IF(J10="SIM",$J$6,0))</f>
        <v>4.2</v>
      </c>
      <c r="M10" s="67" t="n">
        <f aca="false">$M$6*H10+(IF(J10="SIM",$J$6,0))+(IF(K10="SIM",$K$6,0))</f>
        <v>8.2</v>
      </c>
      <c r="N10" s="67" t="n">
        <f aca="false">H10*12+I10*4+L10*2+M10</f>
        <v>50.2</v>
      </c>
      <c r="O10" s="68" t="n">
        <f aca="false">IF(K10="não", N10*(C$25+D$25),N10*(C$25+D$25)+(M10*+E$25))</f>
        <v>3173.238</v>
      </c>
      <c r="P10" s="69"/>
      <c r="Q10" s="22" t="str">
        <f aca="false">B10</f>
        <v>APS CURITIBANOS</v>
      </c>
      <c r="R10" s="24" t="n">
        <f aca="false">H10*($C$25+$D$25)</f>
        <v>113</v>
      </c>
      <c r="S10" s="24" t="n">
        <f aca="false">I10*($C$25+$D$25)</f>
        <v>135.6</v>
      </c>
      <c r="T10" s="24" t="n">
        <f aca="false">L10*($C$25+$D$25)</f>
        <v>237.3</v>
      </c>
      <c r="U10" s="24" t="n">
        <f aca="false">IF(K10="não",M10*($C$25+$D$25),M10*(C$25+D$25+E$25))</f>
        <v>800.238</v>
      </c>
      <c r="V10" s="24" t="n">
        <f aca="false">VLOOKUP(Q10,'Desl. Base Florianópolis'!$C$5:$S$19,13,FALSE())*($C$25+$D$25+$E$25*(VLOOKUP(Q10,'Desl. Base Florianópolis'!$C$5:$S$19,17,FALSE())/12))</f>
        <v>559.292222222222</v>
      </c>
      <c r="W10" s="24" t="n">
        <f aca="false">VLOOKUP(Q10,'Desl. Base Florianópolis'!$C$5:$S$19,15,FALSE())*(2+(VLOOKUP(Q10,'Desl. Base Florianópolis'!$C$5:$S$19,17,FALSE())/12))</f>
        <v>276.541666666667</v>
      </c>
      <c r="X10" s="24" t="n">
        <f aca="false">VLOOKUP(Q10,'Desl. Base Florianópolis'!$C$5:$Q$19,14,FALSE())</f>
        <v>13.8</v>
      </c>
      <c r="Y10" s="24" t="n">
        <f aca="false">VLOOKUP(Q10,'Desl. Base Florianópolis'!$C$5:$Q$19,13,FALSE())*'Desl. Base Florianópolis'!$E$24+'Desl. Base Florianópolis'!$E$25*N10/12</f>
        <v>514.594166666667</v>
      </c>
      <c r="Z10" s="24" t="n">
        <f aca="false">(H10/$AC$5)*'Equipe Técnica'!$C$13</f>
        <v>321.405567412924</v>
      </c>
      <c r="AA10" s="24" t="n">
        <f aca="false">(I10/$AC$5)*'Equipe Técnica'!$C$13</f>
        <v>385.686680895509</v>
      </c>
      <c r="AB10" s="24" t="n">
        <f aca="false">(L10/$AC$5)*'Equipe Técnica'!$C$13</f>
        <v>674.95169156714</v>
      </c>
      <c r="AC10" s="24" t="n">
        <f aca="false">(M10/$AC$5)*'Equipe Técnica'!$C$13</f>
        <v>1317.76282639299</v>
      </c>
      <c r="AD10" s="24" t="n">
        <f aca="false">R10+(($V10+$W10+$X10+$Y10)*12/19)+$Z10</f>
        <v>1296.02328671117</v>
      </c>
      <c r="AE10" s="24" t="n">
        <f aca="false">S10+(($V10+$W10+$X10+$Y10)*12/19)+$AA10</f>
        <v>1382.90440019375</v>
      </c>
      <c r="AF10" s="24" t="n">
        <f aca="false">T10+(($V10+$W10+$X10+$Y10)*12/19)+$AB10</f>
        <v>1773.86941086539</v>
      </c>
      <c r="AG10" s="24" t="n">
        <f aca="false">U10+(($V10+$W10+$X10+$Y10)*12/19)+$AC10</f>
        <v>2979.61854569123</v>
      </c>
      <c r="AI10" s="22" t="str">
        <f aca="false">B10</f>
        <v>APS CURITIBANOS</v>
      </c>
      <c r="AJ10" s="70" t="n">
        <f aca="false">VLOOKUP(AI10,Unidades!D$5:H$32,5,)</f>
        <v>0.2487</v>
      </c>
      <c r="AK10" s="50" t="n">
        <f aca="false">AD10*(1+$AJ10)</f>
        <v>1618.34427811624</v>
      </c>
      <c r="AL10" s="50" t="n">
        <f aca="false">AE10*(1+$AJ10)</f>
        <v>1726.83272452194</v>
      </c>
      <c r="AM10" s="50" t="n">
        <f aca="false">AF10*(1+$AJ10)</f>
        <v>2215.03073334761</v>
      </c>
      <c r="AN10" s="50" t="n">
        <f aca="false">AG10*(1+$AJ10)</f>
        <v>3720.64967800464</v>
      </c>
      <c r="AO10" s="50" t="n">
        <f aca="false">((AK10*12)+(AL10*4)+(AM10*2)+AN10)/12</f>
        <v>2873.18111501521</v>
      </c>
      <c r="AP10" s="50" t="n">
        <f aca="false">AO10*3</f>
        <v>8619.54334504562</v>
      </c>
      <c r="AQ10" s="50" t="n">
        <f aca="false">AO10+AP10</f>
        <v>11492.7244600608</v>
      </c>
      <c r="AR10" s="71"/>
      <c r="AS10" s="74" t="s">
        <v>72</v>
      </c>
      <c r="AT10" s="50" t="n">
        <f aca="false">(SUM(AT8:AW8))/12</f>
        <v>18176.2765393447</v>
      </c>
      <c r="AU10" s="50"/>
      <c r="AV10" s="73"/>
      <c r="AW10" s="73"/>
    </row>
    <row r="11" s="2" customFormat="true" ht="15" hidden="false" customHeight="true" outlineLevel="0" collapsed="false">
      <c r="B11" s="22" t="s">
        <v>87</v>
      </c>
      <c r="C11" s="66" t="n">
        <f aca="false">VLOOKUP($B11,Unidades!$D$5:$N$32,6,FALSE())</f>
        <v>3639.25</v>
      </c>
      <c r="D11" s="66" t="n">
        <f aca="false">VLOOKUP($B11,Unidades!$D$5:$N$32,7,FALSE())</f>
        <v>319.46</v>
      </c>
      <c r="E11" s="66" t="n">
        <f aca="false">VLOOKUP($B11,Unidades!$D$5:$N$32,8,FALSE())</f>
        <v>507.75</v>
      </c>
      <c r="F11" s="66" t="n">
        <f aca="false">VLOOKUP($B11,Unidades!$D$5:$N$32,9,FALSE())</f>
        <v>2812.04</v>
      </c>
      <c r="G11" s="66" t="n">
        <f aca="false">D11+E11*$E$6+F11*$F$6</f>
        <v>778.3765</v>
      </c>
      <c r="H11" s="67" t="n">
        <f aca="false">IF(G11&lt;750,1.5,IF(G11&lt;2000,2,3))</f>
        <v>2</v>
      </c>
      <c r="I11" s="67" t="n">
        <f aca="false">$I$6*H11</f>
        <v>2.4</v>
      </c>
      <c r="J11" s="67" t="str">
        <f aca="false">VLOOKUP($B11,Unidades!$D$7:$N$32,10,FALSE())</f>
        <v>SIM</v>
      </c>
      <c r="K11" s="67" t="str">
        <f aca="false">VLOOKUP($B11,Unidades!$D$7:$N$32,11,FALSE())</f>
        <v>SIM</v>
      </c>
      <c r="L11" s="67" t="n">
        <f aca="false">$L$6*H11+(IF(J11="SIM",$J$6,0))</f>
        <v>4.2</v>
      </c>
      <c r="M11" s="67" t="n">
        <f aca="false">$M$6*H11+(IF(J11="SIM",$J$6,0))+(IF(K11="SIM",$K$6,0))</f>
        <v>8.2</v>
      </c>
      <c r="N11" s="67" t="n">
        <f aca="false">H11*12+I11*4+L11*2+M11</f>
        <v>50.2</v>
      </c>
      <c r="O11" s="68" t="n">
        <f aca="false">IF(K11="não", N11*(C$25+D$25),N11*(C$25+D$25)+(M11*+E$25))</f>
        <v>3173.238</v>
      </c>
      <c r="P11" s="69"/>
      <c r="Q11" s="22" t="str">
        <f aca="false">B11</f>
        <v>DEPÓSITO FLORIANÓPOLIS - CONTINENTE</v>
      </c>
      <c r="R11" s="24" t="n">
        <f aca="false">H11*($C$25+$D$25)</f>
        <v>113</v>
      </c>
      <c r="S11" s="24" t="n">
        <f aca="false">I11*($C$25+$D$25)</f>
        <v>135.6</v>
      </c>
      <c r="T11" s="24" t="n">
        <f aca="false">L11*($C$25+$D$25)</f>
        <v>237.3</v>
      </c>
      <c r="U11" s="24" t="n">
        <f aca="false">IF(K11="não",M11*($C$25+$D$25),M11*(C$25+D$25+E$25))</f>
        <v>800.238</v>
      </c>
      <c r="V11" s="24" t="n">
        <f aca="false">VLOOKUP(Q11,'Desl. Base Florianópolis'!$C$5:$S$19,13,FALSE())*($C$25+$D$25+$E$25*(VLOOKUP(Q11,'Desl. Base Florianópolis'!$C$5:$S$19,17,FALSE())/12))</f>
        <v>11.4854652777778</v>
      </c>
      <c r="W11" s="24" t="n">
        <f aca="false">VLOOKUP(Q11,'Desl. Base Florianópolis'!$C$5:$S$19,15,FALSE())*(2+(VLOOKUP(Q11,'Desl. Base Florianópolis'!$C$5:$S$19,17,FALSE())/12))</f>
        <v>0</v>
      </c>
      <c r="X11" s="24" t="n">
        <f aca="false">VLOOKUP(Q11,'Desl. Base Florianópolis'!$C$5:$Q$19,14,FALSE())</f>
        <v>0</v>
      </c>
      <c r="Y11" s="24" t="n">
        <f aca="false">VLOOKUP(Q11,'Desl. Base Florianópolis'!$C$5:$Q$19,13,FALSE())*'Desl. Base Florianópolis'!$E$24+'Desl. Base Florianópolis'!$E$25*N11/12</f>
        <v>39.0446666666667</v>
      </c>
      <c r="Z11" s="24" t="n">
        <f aca="false">(H11/$AC$5)*'Equipe Técnica'!$C$13</f>
        <v>321.405567412924</v>
      </c>
      <c r="AA11" s="24" t="n">
        <f aca="false">(I11/$AC$5)*'Equipe Técnica'!$C$13</f>
        <v>385.686680895509</v>
      </c>
      <c r="AB11" s="24" t="n">
        <f aca="false">(L11/$AC$5)*'Equipe Técnica'!$C$13</f>
        <v>674.95169156714</v>
      </c>
      <c r="AC11" s="24" t="n">
        <f aca="false">(M11/$AC$5)*'Equipe Técnica'!$C$13</f>
        <v>1317.76282639299</v>
      </c>
      <c r="AD11" s="24" t="n">
        <f aca="false">R11+(($V11+$W11+$X11+$Y11)*12/19)+$Z11</f>
        <v>466.319334956784</v>
      </c>
      <c r="AE11" s="24" t="n">
        <f aca="false">S11+(($V11+$W11+$X11+$Y11)*12/19)+$AA11</f>
        <v>553.200448439369</v>
      </c>
      <c r="AF11" s="24" t="n">
        <f aca="false">T11+(($V11+$W11+$X11+$Y11)*12/19)+$AB11</f>
        <v>944.165459111</v>
      </c>
      <c r="AG11" s="24" t="n">
        <f aca="false">U11+(($V11+$W11+$X11+$Y11)*12/19)+$AC11</f>
        <v>2149.91459393685</v>
      </c>
      <c r="AI11" s="22" t="str">
        <f aca="false">B11</f>
        <v>DEPÓSITO FLORIANÓPOLIS - CONTINENTE</v>
      </c>
      <c r="AJ11" s="70" t="n">
        <f aca="false">VLOOKUP(AI11,Unidades!D$5:H$32,5,)</f>
        <v>0.2354</v>
      </c>
      <c r="AK11" s="50" t="n">
        <f aca="false">AD11*(1+$AJ11)</f>
        <v>576.090906405611</v>
      </c>
      <c r="AL11" s="50" t="n">
        <f aca="false">AE11*(1+$AJ11)</f>
        <v>683.423834001996</v>
      </c>
      <c r="AM11" s="50" t="n">
        <f aca="false">AF11*(1+$AJ11)</f>
        <v>1166.42200818573</v>
      </c>
      <c r="AN11" s="50" t="n">
        <f aca="false">AG11*(1+$AJ11)</f>
        <v>2656.00448934958</v>
      </c>
      <c r="AO11" s="50" t="n">
        <f aca="false">((AK11*12)+(AL11*4)+(AM11*2)+AN11)/12</f>
        <v>1219.6362265497</v>
      </c>
      <c r="AP11" s="50" t="n">
        <f aca="false">AO11*3</f>
        <v>3658.90867964909</v>
      </c>
      <c r="AQ11" s="50" t="n">
        <f aca="false">AO11+AP11</f>
        <v>4878.54490619879</v>
      </c>
      <c r="AR11" s="71"/>
      <c r="AS11" s="74" t="s">
        <v>88</v>
      </c>
      <c r="AT11" s="50" t="n">
        <f aca="false">AT10*12</f>
        <v>218115.318472137</v>
      </c>
      <c r="AU11" s="50"/>
      <c r="AV11" s="73"/>
      <c r="AW11" s="73"/>
    </row>
    <row r="12" s="2" customFormat="true" ht="15" hidden="false" customHeight="true" outlineLevel="0" collapsed="false">
      <c r="B12" s="22" t="s">
        <v>89</v>
      </c>
      <c r="C12" s="66" t="n">
        <f aca="false">VLOOKUP($B12,Unidades!$D$5:$N$32,6,FALSE())</f>
        <v>334.4</v>
      </c>
      <c r="D12" s="66" t="n">
        <f aca="false">VLOOKUP($B12,Unidades!$D$5:$N$32,7,FALSE())</f>
        <v>296</v>
      </c>
      <c r="E12" s="66" t="n">
        <f aca="false">VLOOKUP($B12,Unidades!$D$5:$N$32,8,FALSE())</f>
        <v>38.4</v>
      </c>
      <c r="F12" s="66" t="n">
        <f aca="false">VLOOKUP($B12,Unidades!$D$5:$N$32,9,FALSE())</f>
        <v>0</v>
      </c>
      <c r="G12" s="66" t="n">
        <f aca="false">D12+E12*$E$6+F12*$F$6</f>
        <v>309.44</v>
      </c>
      <c r="H12" s="67" t="n">
        <f aca="false">IF(G12&lt;750,1.5,IF(G12&lt;2000,2,3))</f>
        <v>1.5</v>
      </c>
      <c r="I12" s="67" t="n">
        <f aca="false">$I$6*H12</f>
        <v>1.8</v>
      </c>
      <c r="J12" s="67" t="str">
        <f aca="false">VLOOKUP($B12,Unidades!$D$7:$N$32,10,FALSE())</f>
        <v>NÃO</v>
      </c>
      <c r="K12" s="67" t="str">
        <f aca="false">VLOOKUP($B12,Unidades!$D$7:$N$32,11,FALSE())</f>
        <v>NÃO</v>
      </c>
      <c r="L12" s="67" t="n">
        <f aca="false">$L$6*H12+(IF(J12="SIM",$J$6,0))</f>
        <v>1.65</v>
      </c>
      <c r="M12" s="67" t="n">
        <f aca="false">$M$6*H12+(IF(J12="SIM",$J$6,0))+(IF(K12="SIM",$K$6,0))</f>
        <v>1.65</v>
      </c>
      <c r="N12" s="67" t="n">
        <f aca="false">H12*12+I12*4+L12*2+M12</f>
        <v>30.15</v>
      </c>
      <c r="O12" s="68" t="n">
        <f aca="false">IF(K12="não", N12*(C$25+D$25),N12*(C$25+D$25)+(M12*+E$25))</f>
        <v>1703.475</v>
      </c>
      <c r="P12" s="69"/>
      <c r="Q12" s="22" t="str">
        <f aca="false">B12</f>
        <v>APS ITAPEMA</v>
      </c>
      <c r="R12" s="24" t="n">
        <f aca="false">H12*($C$25+$D$25)</f>
        <v>84.75</v>
      </c>
      <c r="S12" s="24" t="n">
        <f aca="false">I12*($C$25+$D$25)</f>
        <v>101.7</v>
      </c>
      <c r="T12" s="24" t="n">
        <f aca="false">L12*($C$25+$D$25)</f>
        <v>93.225</v>
      </c>
      <c r="U12" s="24" t="n">
        <f aca="false">IF(K12="não",M12*($C$25+$D$25),M12*(C$25+D$25+E$25))</f>
        <v>93.225</v>
      </c>
      <c r="V12" s="24" t="n">
        <f aca="false">VLOOKUP(Q12,'Desl. Base Florianópolis'!$C$5:$S$19,13,FALSE())*($C$25+$D$25+$E$25*(VLOOKUP(Q12,'Desl. Base Florianópolis'!$C$5:$S$19,17,FALSE())/12))</f>
        <v>53.675</v>
      </c>
      <c r="W12" s="24" t="n">
        <f aca="false">VLOOKUP(Q12,'Desl. Base Florianópolis'!$C$5:$S$19,15,FALSE())*(2+(VLOOKUP(Q12,'Desl. Base Florianópolis'!$C$5:$S$19,17,FALSE())/12))</f>
        <v>0</v>
      </c>
      <c r="X12" s="24" t="n">
        <f aca="false">VLOOKUP(Q12,'Desl. Base Florianópolis'!$C$5:$Q$19,14,FALSE())</f>
        <v>4.9</v>
      </c>
      <c r="Y12" s="24" t="n">
        <f aca="false">VLOOKUP(Q12,'Desl. Base Florianópolis'!$C$5:$Q$19,13,FALSE())*'Desl. Base Florianópolis'!$E$24+'Desl. Base Florianópolis'!$E$25*N12/12</f>
        <v>66.880875</v>
      </c>
      <c r="Z12" s="24" t="n">
        <f aca="false">(H12/$AC$5)*'Equipe Técnica'!$C$13</f>
        <v>241.054175559693</v>
      </c>
      <c r="AA12" s="24" t="n">
        <f aca="false">(I12/$AC$5)*'Equipe Técnica'!$C$13</f>
        <v>289.265010671632</v>
      </c>
      <c r="AB12" s="24" t="n">
        <f aca="false">(L12/$AC$5)*'Equipe Técnica'!$C$13</f>
        <v>265.159593115662</v>
      </c>
      <c r="AC12" s="24" t="n">
        <f aca="false">(M12/$AC$5)*'Equipe Técnica'!$C$13</f>
        <v>265.159593115662</v>
      </c>
      <c r="AD12" s="24" t="n">
        <f aca="false">R12+(($V12+$W12+$X12+$Y12)*12/19)+$Z12</f>
        <v>405.039465033377</v>
      </c>
      <c r="AE12" s="24" t="n">
        <f aca="false">S12+(($V12+$W12+$X12+$Y12)*12/19)+$AA12</f>
        <v>470.200300145316</v>
      </c>
      <c r="AF12" s="24" t="n">
        <f aca="false">T12+(($V12+$W12+$X12+$Y12)*12/19)+$AB12</f>
        <v>437.619882589347</v>
      </c>
      <c r="AG12" s="24" t="n">
        <f aca="false">U12+(($V12+$W12+$X12+$Y12)*12/19)+$AC12</f>
        <v>437.619882589347</v>
      </c>
      <c r="AI12" s="22" t="str">
        <f aca="false">B12</f>
        <v>APS ITAPEMA</v>
      </c>
      <c r="AJ12" s="70" t="n">
        <f aca="false">VLOOKUP(AI12,Unidades!D$5:H$32,5,)</f>
        <v>0.2624</v>
      </c>
      <c r="AK12" s="50" t="n">
        <f aca="false">AD12*(1+$AJ12)</f>
        <v>511.321820658135</v>
      </c>
      <c r="AL12" s="50" t="n">
        <f aca="false">AE12*(1+$AJ12)</f>
        <v>593.580858903447</v>
      </c>
      <c r="AM12" s="50" t="n">
        <f aca="false">AF12*(1+$AJ12)</f>
        <v>552.451339780791</v>
      </c>
      <c r="AN12" s="50" t="n">
        <f aca="false">AG12*(1+$AJ12)</f>
        <v>552.451339780791</v>
      </c>
      <c r="AO12" s="50" t="n">
        <f aca="false">((AK12*12)+(AL12*4)+(AM12*2)+AN12)/12</f>
        <v>847.294941904482</v>
      </c>
      <c r="AP12" s="50" t="n">
        <f aca="false">AO12*3</f>
        <v>2541.88482571345</v>
      </c>
      <c r="AQ12" s="50" t="n">
        <f aca="false">AO12+AP12</f>
        <v>3389.17976761793</v>
      </c>
      <c r="AR12" s="71"/>
      <c r="AS12" s="74" t="s">
        <v>73</v>
      </c>
      <c r="AT12" s="50" t="n">
        <f aca="false">AT10*3</f>
        <v>54528.8296180342</v>
      </c>
      <c r="AU12" s="50"/>
      <c r="AV12" s="71"/>
      <c r="AW12" s="71"/>
    </row>
    <row r="13" s="2" customFormat="true" ht="15" hidden="false" customHeight="true" outlineLevel="0" collapsed="false">
      <c r="B13" s="22" t="s">
        <v>90</v>
      </c>
      <c r="C13" s="66" t="n">
        <f aca="false">VLOOKUP($B13,Unidades!$D$5:$N$32,6,FALSE())</f>
        <v>3202.15</v>
      </c>
      <c r="D13" s="66" t="n">
        <f aca="false">VLOOKUP($B13,Unidades!$D$5:$N$32,7,FALSE())</f>
        <v>1561.81</v>
      </c>
      <c r="E13" s="66" t="n">
        <f aca="false">VLOOKUP($B13,Unidades!$D$5:$N$32,8,FALSE())</f>
        <v>732</v>
      </c>
      <c r="F13" s="66" t="n">
        <f aca="false">VLOOKUP($B13,Unidades!$D$5:$N$32,9,FALSE())</f>
        <v>908.34</v>
      </c>
      <c r="G13" s="66" t="n">
        <f aca="false">D13+E13*$E$6+F13*$F$6</f>
        <v>1908.844</v>
      </c>
      <c r="H13" s="67" t="n">
        <f aca="false">IF(G13&lt;750,1.5,IF(G13&lt;2000,2,3))</f>
        <v>2</v>
      </c>
      <c r="I13" s="67" t="n">
        <f aca="false">$I$6*H13</f>
        <v>2.4</v>
      </c>
      <c r="J13" s="67" t="str">
        <f aca="false">VLOOKUP($B13,Unidades!$D$7:$N$32,10,FALSE())</f>
        <v>NÃO</v>
      </c>
      <c r="K13" s="67" t="str">
        <f aca="false">VLOOKUP($B13,Unidades!$D$7:$N$32,11,FALSE())</f>
        <v>SIM</v>
      </c>
      <c r="L13" s="67" t="n">
        <f aca="false">$L$6*H13+(IF(J13="SIM",$J$6,0))</f>
        <v>2.2</v>
      </c>
      <c r="M13" s="67" t="n">
        <f aca="false">$M$6*H13+(IF(J13="SIM",$J$6,0))+(IF(K13="SIM",$K$6,0))</f>
        <v>6.2</v>
      </c>
      <c r="N13" s="67" t="n">
        <f aca="false">H13*12+I13*4+L13*2+M13</f>
        <v>44.2</v>
      </c>
      <c r="O13" s="68" t="n">
        <f aca="false">IF(K13="não", N13*(C$25+D$25),N13*(C$25+D$25)+(M13*+E$25))</f>
        <v>2752.058</v>
      </c>
      <c r="P13" s="69"/>
      <c r="Q13" s="22" t="str">
        <f aca="false">B13</f>
        <v>APS LAGES</v>
      </c>
      <c r="R13" s="24" t="n">
        <f aca="false">H13*($C$25+$D$25)</f>
        <v>113</v>
      </c>
      <c r="S13" s="24" t="n">
        <f aca="false">I13*($C$25+$D$25)</f>
        <v>135.6</v>
      </c>
      <c r="T13" s="24" t="n">
        <f aca="false">L13*($C$25+$D$25)</f>
        <v>124.3</v>
      </c>
      <c r="U13" s="24" t="n">
        <f aca="false">IF(K13="não",M13*($C$25+$D$25),M13*(C$25+D$25+E$25))</f>
        <v>605.058</v>
      </c>
      <c r="V13" s="24" t="n">
        <f aca="false">VLOOKUP(Q13,'Desl. Base Florianópolis'!$C$5:$S$19,13,FALSE())*($C$25+$D$25+$E$25*(VLOOKUP(Q13,'Desl. Base Florianópolis'!$C$5:$S$19,17,FALSE())/12))</f>
        <v>219.721944444444</v>
      </c>
      <c r="W13" s="24" t="n">
        <f aca="false">VLOOKUP(Q13,'Desl. Base Florianópolis'!$C$5:$S$19,15,FALSE())*(2+(VLOOKUP(Q13,'Desl. Base Florianópolis'!$C$5:$S$19,17,FALSE())/12))</f>
        <v>138.270833333333</v>
      </c>
      <c r="X13" s="24" t="n">
        <f aca="false">VLOOKUP(Q13,'Desl. Base Florianópolis'!$C$5:$Q$19,14,FALSE())</f>
        <v>0</v>
      </c>
      <c r="Y13" s="24" t="n">
        <f aca="false">VLOOKUP(Q13,'Desl. Base Florianópolis'!$C$5:$Q$19,13,FALSE())*'Desl. Base Florianópolis'!$E$24+'Desl. Base Florianópolis'!$E$25*N13/12</f>
        <v>216.339166666667</v>
      </c>
      <c r="Z13" s="24" t="n">
        <f aca="false">(H13/$AC$5)*'Equipe Técnica'!$C$13</f>
        <v>321.405567412924</v>
      </c>
      <c r="AA13" s="24" t="n">
        <f aca="false">(I13/$AC$5)*'Equipe Técnica'!$C$13</f>
        <v>385.686680895509</v>
      </c>
      <c r="AB13" s="24" t="n">
        <f aca="false">(L13/$AC$5)*'Equipe Técnica'!$C$13</f>
        <v>353.546124154216</v>
      </c>
      <c r="AC13" s="24" t="n">
        <f aca="false">(M13/$AC$5)*'Equipe Técnica'!$C$13</f>
        <v>996.357258980065</v>
      </c>
      <c r="AD13" s="24" t="n">
        <f aca="false">R13+(($V13+$W13+$X13+$Y13)*12/19)+$Z13</f>
        <v>797.141532325205</v>
      </c>
      <c r="AE13" s="24" t="n">
        <f aca="false">S13+(($V13+$W13+$X13+$Y13)*12/19)+$AA13</f>
        <v>884.022645807789</v>
      </c>
      <c r="AF13" s="24" t="n">
        <f aca="false">T13+(($V13+$W13+$X13+$Y13)*12/19)+$AB13</f>
        <v>840.582089066497</v>
      </c>
      <c r="AG13" s="24" t="n">
        <f aca="false">U13+(($V13+$W13+$X13+$Y13)*12/19)+$AC13</f>
        <v>1964.15122389235</v>
      </c>
      <c r="AI13" s="22" t="str">
        <f aca="false">B13</f>
        <v>APS LAGES</v>
      </c>
      <c r="AJ13" s="70" t="n">
        <f aca="false">VLOOKUP(AI13,Unidades!D$5:H$32,5,)</f>
        <v>0.2223</v>
      </c>
      <c r="AK13" s="50" t="n">
        <f aca="false">AD13*(1+$AJ13)</f>
        <v>974.346094961097</v>
      </c>
      <c r="AL13" s="50" t="n">
        <f aca="false">AE13*(1+$AJ13)</f>
        <v>1080.54087997086</v>
      </c>
      <c r="AM13" s="50" t="n">
        <f aca="false">AF13*(1+$AJ13)</f>
        <v>1027.44348746598</v>
      </c>
      <c r="AN13" s="50" t="n">
        <f aca="false">AG13*(1+$AJ13)</f>
        <v>2400.78204096361</v>
      </c>
      <c r="AO13" s="50" t="n">
        <f aca="false">((AK13*12)+(AL13*4)+(AM13*2)+AN13)/12</f>
        <v>1705.83213960935</v>
      </c>
      <c r="AP13" s="50" t="n">
        <f aca="false">AO13*3</f>
        <v>5117.49641882805</v>
      </c>
      <c r="AQ13" s="50" t="n">
        <f aca="false">AO13+AP13</f>
        <v>6823.3285584374</v>
      </c>
      <c r="AR13" s="71"/>
      <c r="AS13" s="74" t="s">
        <v>91</v>
      </c>
      <c r="AT13" s="50" t="n">
        <f aca="false">AT12*12</f>
        <v>654345.955416411</v>
      </c>
      <c r="AU13" s="50"/>
      <c r="AV13" s="73"/>
      <c r="AW13" s="73"/>
    </row>
    <row r="14" s="2" customFormat="true" ht="15" hidden="false" customHeight="true" outlineLevel="0" collapsed="false">
      <c r="B14" s="22" t="s">
        <v>92</v>
      </c>
      <c r="C14" s="66" t="n">
        <f aca="false">VLOOKUP($B14,Unidades!$D$5:$N$32,6,FALSE())</f>
        <v>529.71</v>
      </c>
      <c r="D14" s="66" t="n">
        <f aca="false">VLOOKUP($B14,Unidades!$D$5:$N$32,7,FALSE())</f>
        <v>482.71</v>
      </c>
      <c r="E14" s="66" t="n">
        <f aca="false">VLOOKUP($B14,Unidades!$D$5:$N$32,8,FALSE())</f>
        <v>0</v>
      </c>
      <c r="F14" s="66" t="n">
        <f aca="false">VLOOKUP($B14,Unidades!$D$5:$N$32,9,FALSE())</f>
        <v>47</v>
      </c>
      <c r="G14" s="66" t="n">
        <f aca="false">D14+E14*$E$6+F14*$F$6</f>
        <v>487.41</v>
      </c>
      <c r="H14" s="67" t="n">
        <f aca="false">IF(G14&lt;750,1.5,IF(G14&lt;2000,2,3))</f>
        <v>1.5</v>
      </c>
      <c r="I14" s="67" t="n">
        <f aca="false">$I$6*H14</f>
        <v>1.8</v>
      </c>
      <c r="J14" s="67" t="str">
        <f aca="false">VLOOKUP($B14,Unidades!$D$7:$N$32,10,FALSE())</f>
        <v>NÃO</v>
      </c>
      <c r="K14" s="67" t="str">
        <f aca="false">VLOOKUP($B14,Unidades!$D$7:$N$32,11,FALSE())</f>
        <v>NÃO</v>
      </c>
      <c r="L14" s="67" t="n">
        <f aca="false">$L$6*H14+(IF(J14="SIM",$J$6,0))</f>
        <v>1.65</v>
      </c>
      <c r="M14" s="67" t="n">
        <f aca="false">$M$6*H14+(IF(J14="SIM",$J$6,0))+(IF(K14="SIM",$K$6,0))</f>
        <v>1.65</v>
      </c>
      <c r="N14" s="67" t="n">
        <f aca="false">H14*12+I14*4+L14*2+M14</f>
        <v>30.15</v>
      </c>
      <c r="O14" s="68" t="n">
        <f aca="false">IF(K14="não", N14*(C$25+D$25),N14*(C$25+D$25)+(M14*+E$25))</f>
        <v>1703.475</v>
      </c>
      <c r="P14" s="69"/>
      <c r="Q14" s="22" t="str">
        <f aca="false">B14</f>
        <v>APS PALHOÇA</v>
      </c>
      <c r="R14" s="24" t="n">
        <f aca="false">H14*($C$25+$D$25)</f>
        <v>84.75</v>
      </c>
      <c r="S14" s="24" t="n">
        <f aca="false">I14*($C$25+$D$25)</f>
        <v>101.7</v>
      </c>
      <c r="T14" s="24" t="n">
        <f aca="false">L14*($C$25+$D$25)</f>
        <v>93.225</v>
      </c>
      <c r="U14" s="24" t="n">
        <f aca="false">IF(K14="não",M14*($C$25+$D$25),M14*(C$25+D$25+E$25))</f>
        <v>93.225</v>
      </c>
      <c r="V14" s="24" t="n">
        <f aca="false">VLOOKUP(Q14,'Desl. Base Florianópolis'!$C$5:$S$19,13,FALSE())*($C$25+$D$25+$E$25*(VLOOKUP(Q14,'Desl. Base Florianópolis'!$C$5:$S$19,17,FALSE())/12))</f>
        <v>17.8916666666667</v>
      </c>
      <c r="W14" s="24" t="n">
        <f aca="false">VLOOKUP(Q14,'Desl. Base Florianópolis'!$C$5:$S$19,15,FALSE())*(2+(VLOOKUP(Q14,'Desl. Base Florianópolis'!$C$5:$S$19,17,FALSE())/12))</f>
        <v>0</v>
      </c>
      <c r="X14" s="24" t="n">
        <f aca="false">VLOOKUP(Q14,'Desl. Base Florianópolis'!$C$5:$Q$19,14,FALSE())</f>
        <v>0</v>
      </c>
      <c r="Y14" s="24" t="n">
        <f aca="false">VLOOKUP(Q14,'Desl. Base Florianópolis'!$C$5:$Q$19,13,FALSE())*'Desl. Base Florianópolis'!$E$24+'Desl. Base Florianópolis'!$E$25*N14/12</f>
        <v>33.934875</v>
      </c>
      <c r="Z14" s="24" t="n">
        <f aca="false">(H14/$AC$5)*'Equipe Técnica'!$C$13</f>
        <v>241.054175559693</v>
      </c>
      <c r="AA14" s="24" t="n">
        <f aca="false">(I14/$AC$5)*'Equipe Técnica'!$C$13</f>
        <v>289.265010671632</v>
      </c>
      <c r="AB14" s="24" t="n">
        <f aca="false">(L14/$AC$5)*'Equipe Técnica'!$C$13</f>
        <v>265.159593115662</v>
      </c>
      <c r="AC14" s="24" t="n">
        <f aca="false">(M14/$AC$5)*'Equipe Técnica'!$C$13</f>
        <v>265.159593115662</v>
      </c>
      <c r="AD14" s="24" t="n">
        <f aca="false">R14+(($V14+$W14+$X14+$Y14)*12/19)+$Z14</f>
        <v>358.536728191272</v>
      </c>
      <c r="AE14" s="24" t="n">
        <f aca="false">S14+(($V14+$W14+$X14+$Y14)*12/19)+$AA14</f>
        <v>423.697563303211</v>
      </c>
      <c r="AF14" s="24" t="n">
        <f aca="false">T14+(($V14+$W14+$X14+$Y14)*12/19)+$AB14</f>
        <v>391.117145747241</v>
      </c>
      <c r="AG14" s="24" t="n">
        <f aca="false">U14+(($V14+$W14+$X14+$Y14)*12/19)+$AC14</f>
        <v>391.117145747241</v>
      </c>
      <c r="AI14" s="22" t="str">
        <f aca="false">B14</f>
        <v>APS PALHOÇA</v>
      </c>
      <c r="AJ14" s="70" t="n">
        <f aca="false">VLOOKUP(AI14,Unidades!D$5:H$32,5,)</f>
        <v>0.2223</v>
      </c>
      <c r="AK14" s="50" t="n">
        <f aca="false">AD14*(1+$AJ14)</f>
        <v>438.239442868192</v>
      </c>
      <c r="AL14" s="50" t="n">
        <f aca="false">AE14*(1+$AJ14)</f>
        <v>517.885531625514</v>
      </c>
      <c r="AM14" s="50" t="n">
        <f aca="false">AF14*(1+$AJ14)</f>
        <v>478.062487246853</v>
      </c>
      <c r="AN14" s="50" t="n">
        <f aca="false">AG14*(1+$AJ14)</f>
        <v>478.062487246853</v>
      </c>
      <c r="AO14" s="50" t="n">
        <f aca="false">((AK14*12)+(AL14*4)+(AM14*2)+AN14)/12</f>
        <v>730.383575221743</v>
      </c>
      <c r="AP14" s="50" t="n">
        <f aca="false">AO14*3</f>
        <v>2191.15072566523</v>
      </c>
      <c r="AQ14" s="50" t="n">
        <f aca="false">AO14+AP14</f>
        <v>2921.53430088697</v>
      </c>
      <c r="AR14" s="71"/>
      <c r="AS14" s="74" t="s">
        <v>93</v>
      </c>
      <c r="AT14" s="50" t="n">
        <f aca="false">AT10+AT12</f>
        <v>72705.1061573789</v>
      </c>
      <c r="AU14" s="50"/>
      <c r="AV14" s="73"/>
      <c r="AW14" s="73"/>
    </row>
    <row r="15" s="2" customFormat="true" ht="15" hidden="false" customHeight="true" outlineLevel="0" collapsed="false">
      <c r="B15" s="22" t="s">
        <v>94</v>
      </c>
      <c r="C15" s="66" t="n">
        <f aca="false">VLOOKUP($B15,Unidades!$D$5:$N$32,6,FALSE())</f>
        <v>523.97</v>
      </c>
      <c r="D15" s="66" t="n">
        <f aca="false">VLOOKUP($B15,Unidades!$D$5:$N$32,7,FALSE())</f>
        <v>460.97</v>
      </c>
      <c r="E15" s="66" t="n">
        <f aca="false">VLOOKUP($B15,Unidades!$D$5:$N$32,8,FALSE())</f>
        <v>63</v>
      </c>
      <c r="F15" s="66" t="n">
        <f aca="false">VLOOKUP($B15,Unidades!$D$5:$N$32,9,FALSE())</f>
        <v>0</v>
      </c>
      <c r="G15" s="66" t="n">
        <f aca="false">D15+E15*$E$6+F15*$F$6</f>
        <v>483.02</v>
      </c>
      <c r="H15" s="67" t="n">
        <f aca="false">IF(G15&lt;750,1.5,IF(G15&lt;2000,2,3))</f>
        <v>1.5</v>
      </c>
      <c r="I15" s="67" t="n">
        <f aca="false">$I$6*H15</f>
        <v>1.8</v>
      </c>
      <c r="J15" s="67" t="str">
        <f aca="false">VLOOKUP($B15,Unidades!$D$7:$N$32,10,FALSE())</f>
        <v>NÃO</v>
      </c>
      <c r="K15" s="67" t="str">
        <f aca="false">VLOOKUP($B15,Unidades!$D$7:$N$32,11,FALSE())</f>
        <v>NÃO</v>
      </c>
      <c r="L15" s="67" t="n">
        <f aca="false">$L$6*H15+(IF(J15="SIM",$J$6,0))</f>
        <v>1.65</v>
      </c>
      <c r="M15" s="67" t="n">
        <f aca="false">$M$6*H15+(IF(J15="SIM",$J$6,0))+(IF(K15="SIM",$K$6,0))</f>
        <v>1.65</v>
      </c>
      <c r="N15" s="67" t="n">
        <f aca="false">H15*12+I15*4+L15*2+M15</f>
        <v>30.15</v>
      </c>
      <c r="O15" s="68" t="n">
        <f aca="false">IF(K15="não", N15*(C$25+D$25),N15*(C$25+D$25)+(M15*+E$25))</f>
        <v>1703.475</v>
      </c>
      <c r="P15" s="69"/>
      <c r="Q15" s="22" t="str">
        <f aca="false">B15</f>
        <v>APS SÃO JOSÉ</v>
      </c>
      <c r="R15" s="24" t="n">
        <f aca="false">H15*($C$25+$D$25)</f>
        <v>84.75</v>
      </c>
      <c r="S15" s="24" t="n">
        <f aca="false">I15*($C$25+$D$25)</f>
        <v>101.7</v>
      </c>
      <c r="T15" s="24" t="n">
        <f aca="false">L15*($C$25+$D$25)</f>
        <v>93.225</v>
      </c>
      <c r="U15" s="24" t="n">
        <f aca="false">IF(K15="não",M15*($C$25+$D$25),M15*(C$25+D$25+E$25))</f>
        <v>93.225</v>
      </c>
      <c r="V15" s="24" t="n">
        <f aca="false">VLOOKUP(Q15,'Desl. Base Florianópolis'!$C$5:$S$19,13,FALSE())*($C$25+$D$25+$E$25*(VLOOKUP(Q15,'Desl. Base Florianópolis'!$C$5:$S$19,17,FALSE())/12))</f>
        <v>11.4854652777778</v>
      </c>
      <c r="W15" s="24" t="n">
        <f aca="false">VLOOKUP(Q15,'Desl. Base Florianópolis'!$C$5:$S$19,15,FALSE())*(2+(VLOOKUP(Q15,'Desl. Base Florianópolis'!$C$5:$S$19,17,FALSE())/12))</f>
        <v>0</v>
      </c>
      <c r="X15" s="24" t="n">
        <f aca="false">VLOOKUP(Q15,'Desl. Base Florianópolis'!$C$5:$Q$19,14,FALSE())</f>
        <v>0</v>
      </c>
      <c r="Y15" s="24" t="n">
        <f aca="false">VLOOKUP(Q15,'Desl. Base Florianópolis'!$C$5:$Q$19,13,FALSE())*'Desl. Base Florianópolis'!$E$24+'Desl. Base Florianópolis'!$E$25*N15/12</f>
        <v>27.432375</v>
      </c>
      <c r="Z15" s="24" t="n">
        <f aca="false">(H15/$AC$5)*'Equipe Técnica'!$C$13</f>
        <v>241.054175559693</v>
      </c>
      <c r="AA15" s="24" t="n">
        <f aca="false">(I15/$AC$5)*'Equipe Técnica'!$C$13</f>
        <v>289.265010671632</v>
      </c>
      <c r="AB15" s="24" t="n">
        <f aca="false">(L15/$AC$5)*'Equipe Técnica'!$C$13</f>
        <v>265.159593115662</v>
      </c>
      <c r="AC15" s="24" t="n">
        <f aca="false">(M15/$AC$5)*'Equipe Técnica'!$C$13</f>
        <v>265.159593115662</v>
      </c>
      <c r="AD15" s="24" t="n">
        <f aca="false">R15+(($V15+$W15+$X15+$Y15)*12/19)+$Z15</f>
        <v>350.383864156184</v>
      </c>
      <c r="AE15" s="24" t="n">
        <f aca="false">S15+(($V15+$W15+$X15+$Y15)*12/19)+$AA15</f>
        <v>415.544699268123</v>
      </c>
      <c r="AF15" s="24" t="n">
        <f aca="false">T15+(($V15+$W15+$X15+$Y15)*12/19)+$AB15</f>
        <v>382.964281712154</v>
      </c>
      <c r="AG15" s="24" t="n">
        <f aca="false">U15+(($V15+$W15+$X15+$Y15)*12/19)+$AC15</f>
        <v>382.964281712154</v>
      </c>
      <c r="AI15" s="22" t="str">
        <f aca="false">B15</f>
        <v>APS SÃO JOSÉ</v>
      </c>
      <c r="AJ15" s="70" t="n">
        <f aca="false">VLOOKUP(AI15,Unidades!D$5:H$32,5,)</f>
        <v>0.2288</v>
      </c>
      <c r="AK15" s="50" t="n">
        <f aca="false">AD15*(1+$AJ15)</f>
        <v>430.551692275119</v>
      </c>
      <c r="AL15" s="50" t="n">
        <f aca="false">AE15*(1+$AJ15)</f>
        <v>510.621326460669</v>
      </c>
      <c r="AM15" s="50" t="n">
        <f aca="false">AF15*(1+$AJ15)</f>
        <v>470.586509367894</v>
      </c>
      <c r="AN15" s="50" t="n">
        <f aca="false">AG15*(1+$AJ15)</f>
        <v>470.586509367894</v>
      </c>
      <c r="AO15" s="50" t="n">
        <f aca="false">((AK15*12)+(AL15*4)+(AM15*2)+AN15)/12</f>
        <v>718.405428437316</v>
      </c>
      <c r="AP15" s="50" t="n">
        <f aca="false">AO15*3</f>
        <v>2155.21628531195</v>
      </c>
      <c r="AQ15" s="50" t="n">
        <f aca="false">AO15+AP15</f>
        <v>2873.62171374926</v>
      </c>
      <c r="AR15" s="71"/>
      <c r="AS15" s="74" t="s">
        <v>95</v>
      </c>
      <c r="AT15" s="50" t="n">
        <f aca="false">AT11+AT13</f>
        <v>872461.273888547</v>
      </c>
      <c r="AU15" s="50"/>
      <c r="AV15" s="71"/>
      <c r="AW15" s="71"/>
    </row>
    <row r="16" s="2" customFormat="true" ht="15" hidden="false" customHeight="true" outlineLevel="0" collapsed="false">
      <c r="B16" s="22" t="s">
        <v>96</v>
      </c>
      <c r="C16" s="66" t="n">
        <f aca="false">VLOOKUP($B16,Unidades!$D$5:$N$32,6,FALSE())</f>
        <v>347.21</v>
      </c>
      <c r="D16" s="66" t="n">
        <f aca="false">VLOOKUP($B16,Unidades!$D$5:$N$32,7,FALSE())</f>
        <v>313.21</v>
      </c>
      <c r="E16" s="66" t="n">
        <f aca="false">VLOOKUP($B16,Unidades!$D$5:$N$32,8,FALSE())</f>
        <v>34</v>
      </c>
      <c r="F16" s="66" t="n">
        <f aca="false">VLOOKUP($B16,Unidades!$D$5:$N$32,9,FALSE())</f>
        <v>0</v>
      </c>
      <c r="G16" s="66" t="n">
        <f aca="false">D16+E16*$E$6+F16*$F$6</f>
        <v>325.11</v>
      </c>
      <c r="H16" s="67" t="n">
        <f aca="false">IF(G16&lt;750,1.5,IF(G16&lt;2000,2,3))</f>
        <v>1.5</v>
      </c>
      <c r="I16" s="67" t="n">
        <f aca="false">$I$6*H16</f>
        <v>1.8</v>
      </c>
      <c r="J16" s="67" t="str">
        <f aca="false">VLOOKUP($B16,Unidades!$D$7:$N$32,10,FALSE())</f>
        <v>NÃO</v>
      </c>
      <c r="K16" s="67" t="str">
        <f aca="false">VLOOKUP($B16,Unidades!$D$7:$N$32,11,FALSE())</f>
        <v>NÃO</v>
      </c>
      <c r="L16" s="67" t="n">
        <f aca="false">$L$6*H16+(IF(J16="SIM",$J$6,0))</f>
        <v>1.65</v>
      </c>
      <c r="M16" s="67" t="n">
        <f aca="false">$M$6*H16+(IF(J16="SIM",$J$6,0))+(IF(K16="SIM",$K$6,0))</f>
        <v>1.65</v>
      </c>
      <c r="N16" s="67" t="n">
        <f aca="false">H16*12+I16*4+L16*2+M16</f>
        <v>30.15</v>
      </c>
      <c r="O16" s="68" t="n">
        <f aca="false">IF(K16="não", N16*(C$25+D$25),N16*(C$25+D$25)+(M16*+E$25))</f>
        <v>1703.475</v>
      </c>
      <c r="P16" s="69"/>
      <c r="Q16" s="22" t="str">
        <f aca="false">B16</f>
        <v>APS TIJUCAS</v>
      </c>
      <c r="R16" s="24" t="n">
        <f aca="false">H16*($C$25+$D$25)</f>
        <v>84.75</v>
      </c>
      <c r="S16" s="24" t="n">
        <f aca="false">I16*($C$25+$D$25)</f>
        <v>101.7</v>
      </c>
      <c r="T16" s="24" t="n">
        <f aca="false">L16*($C$25+$D$25)</f>
        <v>93.225</v>
      </c>
      <c r="U16" s="24" t="n">
        <f aca="false">IF(K16="não",M16*($C$25+$D$25),M16*(C$25+D$25+E$25))</f>
        <v>93.225</v>
      </c>
      <c r="V16" s="24" t="n">
        <f aca="false">VLOOKUP(Q16,'Desl. Base Florianópolis'!$C$5:$S$19,13,FALSE())*($C$25+$D$25+$E$25*(VLOOKUP(Q16,'Desl. Base Florianópolis'!$C$5:$S$19,17,FALSE())/12))</f>
        <v>53.675</v>
      </c>
      <c r="W16" s="24" t="n">
        <f aca="false">VLOOKUP(Q16,'Desl. Base Florianópolis'!$C$5:$S$19,15,FALSE())*(2+(VLOOKUP(Q16,'Desl. Base Florianópolis'!$C$5:$S$19,17,FALSE())/12))</f>
        <v>0</v>
      </c>
      <c r="X16" s="24" t="n">
        <f aca="false">VLOOKUP(Q16,'Desl. Base Florianópolis'!$C$5:$Q$19,14,FALSE())</f>
        <v>4.9</v>
      </c>
      <c r="Y16" s="24" t="n">
        <f aca="false">VLOOKUP(Q16,'Desl. Base Florianópolis'!$C$5:$Q$19,13,FALSE())*'Desl. Base Florianópolis'!$E$24+'Desl. Base Florianópolis'!$E$25*N16/12</f>
        <v>66.880875</v>
      </c>
      <c r="Z16" s="24" t="n">
        <f aca="false">(H16/$AC$5)*'Equipe Técnica'!$C$13</f>
        <v>241.054175559693</v>
      </c>
      <c r="AA16" s="24" t="n">
        <f aca="false">(I16/$AC$5)*'Equipe Técnica'!$C$13</f>
        <v>289.265010671632</v>
      </c>
      <c r="AB16" s="24" t="n">
        <f aca="false">(L16/$AC$5)*'Equipe Técnica'!$C$13</f>
        <v>265.159593115662</v>
      </c>
      <c r="AC16" s="24" t="n">
        <f aca="false">(M16/$AC$5)*'Equipe Técnica'!$C$13</f>
        <v>265.159593115662</v>
      </c>
      <c r="AD16" s="24" t="n">
        <f aca="false">R16+(($V16+$W16+$X16+$Y16)*12/19)+$Z16</f>
        <v>405.039465033377</v>
      </c>
      <c r="AE16" s="24" t="n">
        <f aca="false">S16+(($V16+$W16+$X16+$Y16)*12/19)+$AA16</f>
        <v>470.200300145316</v>
      </c>
      <c r="AF16" s="24" t="n">
        <f aca="false">T16+(($V16+$W16+$X16+$Y16)*12/19)+$AB16</f>
        <v>437.619882589347</v>
      </c>
      <c r="AG16" s="24" t="n">
        <f aca="false">U16+(($V16+$W16+$X16+$Y16)*12/19)+$AC16</f>
        <v>437.619882589347</v>
      </c>
      <c r="AI16" s="22" t="str">
        <f aca="false">B16</f>
        <v>APS TIJUCAS</v>
      </c>
      <c r="AJ16" s="70" t="n">
        <f aca="false">VLOOKUP(AI16,Unidades!D$5:H$32,5,)</f>
        <v>0.2223</v>
      </c>
      <c r="AK16" s="50" t="n">
        <f aca="false">AD16*(1+$AJ16)</f>
        <v>495.079738110297</v>
      </c>
      <c r="AL16" s="50" t="n">
        <f aca="false">AE16*(1+$AJ16)</f>
        <v>574.72582686762</v>
      </c>
      <c r="AM16" s="50" t="n">
        <f aca="false">AF16*(1+$AJ16)</f>
        <v>534.902782488958</v>
      </c>
      <c r="AN16" s="50" t="n">
        <f aca="false">AG16*(1+$AJ16)</f>
        <v>534.902782488958</v>
      </c>
      <c r="AO16" s="50" t="n">
        <f aca="false">((AK16*12)+(AL16*4)+(AM16*2)+AN16)/12</f>
        <v>820.380709355076</v>
      </c>
      <c r="AP16" s="50" t="n">
        <f aca="false">AO16*3</f>
        <v>2461.14212806523</v>
      </c>
      <c r="AQ16" s="50" t="n">
        <f aca="false">AO16+AP16</f>
        <v>3281.52283742031</v>
      </c>
      <c r="AR16" s="71"/>
      <c r="AS16" s="71"/>
      <c r="AT16" s="71"/>
      <c r="AU16" s="71"/>
      <c r="AV16" s="71"/>
      <c r="AW16" s="71"/>
    </row>
    <row r="17" s="2" customFormat="true" ht="15" hidden="false" customHeight="true" outlineLevel="0" collapsed="false">
      <c r="B17" s="22" t="s">
        <v>97</v>
      </c>
      <c r="C17" s="66" t="n">
        <f aca="false">VLOOKUP($B17,Unidades!$D$5:$N$32,6,FALSE())</f>
        <v>264.93</v>
      </c>
      <c r="D17" s="66" t="n">
        <f aca="false">VLOOKUP($B17,Unidades!$D$5:$N$32,7,FALSE())</f>
        <v>70.93</v>
      </c>
      <c r="E17" s="66" t="n">
        <f aca="false">VLOOKUP($B17,Unidades!$D$5:$N$32,8,FALSE())</f>
        <v>194</v>
      </c>
      <c r="F17" s="66" t="n">
        <f aca="false">VLOOKUP($B17,Unidades!$D$5:$N$32,9,FALSE())</f>
        <v>0</v>
      </c>
      <c r="G17" s="66" t="n">
        <f aca="false">D17+E17*$E$6+F17*$F$6</f>
        <v>138.83</v>
      </c>
      <c r="H17" s="67" t="n">
        <f aca="false">IF(G17&lt;750,1.5,IF(G17&lt;2000,2,3))</f>
        <v>1.5</v>
      </c>
      <c r="I17" s="67" t="n">
        <f aca="false">$I$6*H17</f>
        <v>1.8</v>
      </c>
      <c r="J17" s="67" t="str">
        <f aca="false">VLOOKUP($B17,Unidades!$D$7:$N$32,10,FALSE())</f>
        <v>NÃO</v>
      </c>
      <c r="K17" s="67" t="str">
        <f aca="false">VLOOKUP($B17,Unidades!$D$7:$N$32,11,FALSE())</f>
        <v>NÃO</v>
      </c>
      <c r="L17" s="67" t="n">
        <f aca="false">$L$6*H17+(IF(J17="SIM",$J$6,0))</f>
        <v>1.65</v>
      </c>
      <c r="M17" s="67" t="n">
        <f aca="false">$M$6*H17+(IF(J17="SIM",$J$6,0))+(IF(K17="SIM",$K$6,0))</f>
        <v>1.65</v>
      </c>
      <c r="N17" s="67" t="n">
        <f aca="false">H17*12+I17*4+L17*2+M17</f>
        <v>30.15</v>
      </c>
      <c r="O17" s="68" t="n">
        <f aca="false">IF(K17="não", N17*(C$25+D$25),N17*(C$25+D$25)+(M17*+E$25))</f>
        <v>1703.475</v>
      </c>
      <c r="P17" s="69"/>
      <c r="Q17" s="22" t="str">
        <f aca="false">B17</f>
        <v>CEDOC PALHOÇA</v>
      </c>
      <c r="R17" s="24" t="n">
        <f aca="false">H17*($C$25+$D$25)</f>
        <v>84.75</v>
      </c>
      <c r="S17" s="24" t="n">
        <f aca="false">I17*($C$25+$D$25)</f>
        <v>101.7</v>
      </c>
      <c r="T17" s="24" t="n">
        <f aca="false">L17*($C$25+$D$25)</f>
        <v>93.225</v>
      </c>
      <c r="U17" s="24" t="n">
        <f aca="false">IF(K17="não",M17*($C$25+$D$25),M17*(C$25+D$25+E$25))</f>
        <v>93.225</v>
      </c>
      <c r="V17" s="24" t="n">
        <f aca="false">VLOOKUP(Q17,'Desl. Base Florianópolis'!$C$5:$S$19,13,FALSE())*($C$25+$D$25+$E$25*(VLOOKUP(Q17,'Desl. Base Florianópolis'!$C$5:$S$19,17,FALSE())/12))</f>
        <v>17.8916666666667</v>
      </c>
      <c r="W17" s="24" t="n">
        <f aca="false">VLOOKUP(Q17,'Desl. Base Florianópolis'!$C$5:$S$19,15,FALSE())*(2+(VLOOKUP(Q17,'Desl. Base Florianópolis'!$C$5:$S$19,17,FALSE())/12))</f>
        <v>0</v>
      </c>
      <c r="X17" s="24" t="n">
        <f aca="false">VLOOKUP(Q17,'Desl. Base Florianópolis'!$C$5:$Q$19,14,FALSE())</f>
        <v>0</v>
      </c>
      <c r="Y17" s="24" t="n">
        <f aca="false">VLOOKUP(Q17,'Desl. Base Florianópolis'!$C$5:$Q$19,13,FALSE())*'Desl. Base Florianópolis'!$E$24+'Desl. Base Florianópolis'!$E$25*N17/12</f>
        <v>33.934875</v>
      </c>
      <c r="Z17" s="24" t="n">
        <f aca="false">(H17/$AC$5)*'Equipe Técnica'!$C$13</f>
        <v>241.054175559693</v>
      </c>
      <c r="AA17" s="24" t="n">
        <f aca="false">(I17/$AC$5)*'Equipe Técnica'!$C$13</f>
        <v>289.265010671632</v>
      </c>
      <c r="AB17" s="24" t="n">
        <f aca="false">(L17/$AC$5)*'Equipe Técnica'!$C$13</f>
        <v>265.159593115662</v>
      </c>
      <c r="AC17" s="24" t="n">
        <f aca="false">(M17/$AC$5)*'Equipe Técnica'!$C$13</f>
        <v>265.159593115662</v>
      </c>
      <c r="AD17" s="24" t="n">
        <f aca="false">R17+(($V17+$W17+$X17+$Y17)*12/19)+$Z17</f>
        <v>358.536728191272</v>
      </c>
      <c r="AE17" s="24" t="n">
        <f aca="false">S17+(($V17+$W17+$X17+$Y17)*12/19)+$AA17</f>
        <v>423.697563303211</v>
      </c>
      <c r="AF17" s="24" t="n">
        <f aca="false">T17+(($V17+$W17+$X17+$Y17)*12/19)+$AB17</f>
        <v>391.117145747241</v>
      </c>
      <c r="AG17" s="24" t="n">
        <f aca="false">U17+(($V17+$W17+$X17+$Y17)*12/19)+$AC17</f>
        <v>391.117145747241</v>
      </c>
      <c r="AI17" s="22" t="str">
        <f aca="false">B17</f>
        <v>CEDOC PALHOÇA</v>
      </c>
      <c r="AJ17" s="70" t="n">
        <f aca="false">VLOOKUP(AI17,Unidades!D$5:H$32,5,)</f>
        <v>0.2223</v>
      </c>
      <c r="AK17" s="50" t="n">
        <f aca="false">AD17*(1+$AJ17)</f>
        <v>438.239442868192</v>
      </c>
      <c r="AL17" s="50" t="n">
        <f aca="false">AE17*(1+$AJ17)</f>
        <v>517.885531625514</v>
      </c>
      <c r="AM17" s="50" t="n">
        <f aca="false">AF17*(1+$AJ17)</f>
        <v>478.062487246853</v>
      </c>
      <c r="AN17" s="50" t="n">
        <f aca="false">AG17*(1+$AJ17)</f>
        <v>478.062487246853</v>
      </c>
      <c r="AO17" s="50" t="n">
        <f aca="false">((AK17*12)+(AL17*4)+(AM17*2)+AN17)/12</f>
        <v>730.383575221743</v>
      </c>
      <c r="AP17" s="50" t="n">
        <f aca="false">AO17*3</f>
        <v>2191.15072566523</v>
      </c>
      <c r="AQ17" s="50" t="n">
        <f aca="false">AO17+AP17</f>
        <v>2921.53430088697</v>
      </c>
      <c r="AR17" s="71"/>
      <c r="AS17" s="71"/>
      <c r="AT17" s="71"/>
      <c r="AU17" s="71"/>
      <c r="AV17" s="71"/>
      <c r="AW17" s="71"/>
    </row>
    <row r="18" s="2" customFormat="true" ht="15" hidden="false" customHeight="true" outlineLevel="0" collapsed="false">
      <c r="B18" s="22" t="s">
        <v>98</v>
      </c>
      <c r="C18" s="66" t="n">
        <f aca="false">VLOOKUP($B18,Unidades!$D$5:$N$32,6,FALSE())</f>
        <v>4300.85</v>
      </c>
      <c r="D18" s="66" t="n">
        <f aca="false">VLOOKUP($B18,Unidades!$D$5:$N$32,7,FALSE())</f>
        <v>150</v>
      </c>
      <c r="E18" s="66" t="n">
        <f aca="false">VLOOKUP($B18,Unidades!$D$5:$N$32,8,FALSE())</f>
        <v>1946.91</v>
      </c>
      <c r="F18" s="66" t="n">
        <f aca="false">VLOOKUP($B18,Unidades!$D$5:$N$32,9,FALSE())</f>
        <v>2203.94</v>
      </c>
      <c r="G18" s="66" t="n">
        <f aca="false">D18+E18*$E$6+F18*$F$6</f>
        <v>1051.8125</v>
      </c>
      <c r="H18" s="67" t="n">
        <f aca="false">IF(G18&lt;750,1.5,IF(G18&lt;2000,2,3))</f>
        <v>2</v>
      </c>
      <c r="I18" s="67" t="n">
        <f aca="false">$I$6*H18</f>
        <v>2.4</v>
      </c>
      <c r="J18" s="67" t="str">
        <f aca="false">VLOOKUP($B18,Unidades!$D$7:$N$32,10,FALSE())</f>
        <v>NÃO</v>
      </c>
      <c r="K18" s="67" t="str">
        <f aca="false">VLOOKUP($B18,Unidades!$D$7:$N$32,11,FALSE())</f>
        <v>SIM</v>
      </c>
      <c r="L18" s="67" t="n">
        <f aca="false">$L$6*H18+(IF(J18="SIM",$J$6,0))</f>
        <v>2.2</v>
      </c>
      <c r="M18" s="67" t="n">
        <f aca="false">$M$6*H18+(IF(J18="SIM",$J$6,0))+(IF(K18="SIM",$K$6,0))</f>
        <v>6.2</v>
      </c>
      <c r="N18" s="67" t="n">
        <f aca="false">H18*12+I18*4+L18*2+M18</f>
        <v>44.2</v>
      </c>
      <c r="O18" s="68" t="n">
        <f aca="false">IF(K18="não", N18*(C$25+D$25),N18*(C$25+D$25)+(M18*+E$25))</f>
        <v>2752.058</v>
      </c>
      <c r="P18" s="69"/>
      <c r="Q18" s="22" t="str">
        <f aca="false">B18</f>
        <v>GALPÕES AV. MAURO RAMOS</v>
      </c>
      <c r="R18" s="24" t="n">
        <f aca="false">H18*($C$25+$D$25)</f>
        <v>113</v>
      </c>
      <c r="S18" s="24" t="n">
        <f aca="false">I18*($C$25+$D$25)</f>
        <v>135.6</v>
      </c>
      <c r="T18" s="24" t="n">
        <f aca="false">L18*($C$25+$D$25)</f>
        <v>124.3</v>
      </c>
      <c r="U18" s="24" t="n">
        <f aca="false">IF(K18="não",M18*($C$25+$D$25),M18*(C$25+D$25+E$25))</f>
        <v>605.058</v>
      </c>
      <c r="V18" s="24" t="n">
        <f aca="false">VLOOKUP(Q18,'Desl. Base Florianópolis'!$C$5:$S$19,13,FALSE())*($C$25+$D$25+$E$25*(VLOOKUP(Q18,'Desl. Base Florianópolis'!$C$5:$S$19,17,FALSE())/12))</f>
        <v>8.48925694444444</v>
      </c>
      <c r="W18" s="24" t="n">
        <f aca="false">VLOOKUP(Q18,'Desl. Base Florianópolis'!$C$5:$S$19,15,FALSE())*(2+(VLOOKUP(Q18,'Desl. Base Florianópolis'!$C$5:$S$19,17,FALSE())/12))</f>
        <v>0</v>
      </c>
      <c r="X18" s="24" t="n">
        <f aca="false">VLOOKUP(Q18,'Desl. Base Florianópolis'!$C$5:$Q$19,14,FALSE())</f>
        <v>0</v>
      </c>
      <c r="Y18" s="24" t="n">
        <f aca="false">VLOOKUP(Q18,'Desl. Base Florianópolis'!$C$5:$Q$19,13,FALSE())*'Desl. Base Florianópolis'!$E$24+'Desl. Base Florianópolis'!$E$25*N18/12</f>
        <v>32.9686666666667</v>
      </c>
      <c r="Z18" s="24" t="n">
        <f aca="false">(H18/$AC$5)*'Equipe Técnica'!$C$13</f>
        <v>321.405567412924</v>
      </c>
      <c r="AA18" s="24" t="n">
        <f aca="false">(I18/$AC$5)*'Equipe Técnica'!$C$13</f>
        <v>385.686680895509</v>
      </c>
      <c r="AB18" s="24" t="n">
        <f aca="false">(L18/$AC$5)*'Equipe Técnica'!$C$13</f>
        <v>353.546124154216</v>
      </c>
      <c r="AC18" s="24" t="n">
        <f aca="false">(M18/$AC$5)*'Equipe Técnica'!$C$13</f>
        <v>996.357258980065</v>
      </c>
      <c r="AD18" s="24" t="n">
        <f aca="false">R18+(($V18+$W18+$X18+$Y18)*12/19)+$Z18</f>
        <v>460.58951916731</v>
      </c>
      <c r="AE18" s="24" t="n">
        <f aca="false">S18+(($V18+$W18+$X18+$Y18)*12/19)+$AA18</f>
        <v>547.470632649895</v>
      </c>
      <c r="AF18" s="24" t="n">
        <f aca="false">T18+(($V18+$W18+$X18+$Y18)*12/19)+$AB18</f>
        <v>504.030075908602</v>
      </c>
      <c r="AG18" s="24" t="n">
        <f aca="false">U18+(($V18+$W18+$X18+$Y18)*12/19)+$AC18</f>
        <v>1627.59921073445</v>
      </c>
      <c r="AI18" s="22" t="str">
        <f aca="false">B18</f>
        <v>GALPÕES AV. MAURO RAMOS</v>
      </c>
      <c r="AJ18" s="70" t="n">
        <f aca="false">VLOOKUP(AI18,Unidades!D$5:H$32,5,)</f>
        <v>0.2354</v>
      </c>
      <c r="AK18" s="50" t="n">
        <f aca="false">AD18*(1+$AJ18)</f>
        <v>569.012291979295</v>
      </c>
      <c r="AL18" s="50" t="n">
        <f aca="false">AE18*(1+$AJ18)</f>
        <v>676.34521957568</v>
      </c>
      <c r="AM18" s="50" t="n">
        <f aca="false">AF18*(1+$AJ18)</f>
        <v>622.678755777487</v>
      </c>
      <c r="AN18" s="50" t="n">
        <f aca="false">AG18*(1+$AJ18)</f>
        <v>2010.73606494134</v>
      </c>
      <c r="AO18" s="50" t="n">
        <f aca="false">((AK18*12)+(AL18*4)+(AM18*2)+AN18)/12</f>
        <v>1065.80182987921</v>
      </c>
      <c r="AP18" s="50" t="n">
        <f aca="false">AO18*3</f>
        <v>3197.40548963764</v>
      </c>
      <c r="AQ18" s="50" t="n">
        <f aca="false">AO18+AP18</f>
        <v>4263.20731951686</v>
      </c>
      <c r="AR18" s="71"/>
      <c r="AS18" s="71"/>
      <c r="AT18" s="71"/>
      <c r="AU18" s="71"/>
      <c r="AV18" s="71"/>
      <c r="AW18" s="71"/>
    </row>
    <row r="19" s="2" customFormat="true" ht="15" hidden="false" customHeight="true" outlineLevel="0" collapsed="false">
      <c r="B19" s="22" t="s">
        <v>99</v>
      </c>
      <c r="C19" s="66" t="n">
        <f aca="false">VLOOKUP($B19,Unidades!$D$5:$N$32,6,FALSE())</f>
        <v>3428.79</v>
      </c>
      <c r="D19" s="66" t="n">
        <f aca="false">VLOOKUP($B19,Unidades!$D$5:$N$32,7,FALSE())</f>
        <v>2957.89</v>
      </c>
      <c r="E19" s="66" t="n">
        <f aca="false">VLOOKUP($B19,Unidades!$D$5:$N$32,8,FALSE())</f>
        <v>470.9</v>
      </c>
      <c r="F19" s="66" t="n">
        <f aca="false">VLOOKUP($B19,Unidades!$D$5:$N$32,9,FALSE())</f>
        <v>0</v>
      </c>
      <c r="G19" s="66" t="n">
        <f aca="false">D19+E19*$E$6+F19*$F$6</f>
        <v>3122.705</v>
      </c>
      <c r="H19" s="67" t="n">
        <f aca="false">IF(G19&lt;750,1.5,IF(G19&lt;2000,2,3))</f>
        <v>3</v>
      </c>
      <c r="I19" s="67" t="n">
        <f aca="false">$I$6*H19</f>
        <v>3.6</v>
      </c>
      <c r="J19" s="67" t="str">
        <f aca="false">VLOOKUP($B19,Unidades!$D$7:$N$32,10,FALSE())</f>
        <v>SIM</v>
      </c>
      <c r="K19" s="67" t="str">
        <f aca="false">VLOOKUP($B19,Unidades!$D$7:$N$32,11,FALSE())</f>
        <v>SIM</v>
      </c>
      <c r="L19" s="67" t="n">
        <f aca="false">$L$6*H19+(IF(J19="SIM",$J$6,0))</f>
        <v>5.3</v>
      </c>
      <c r="M19" s="67" t="n">
        <f aca="false">$M$6*H19+(IF(J19="SIM",$J$6,0))+(IF(K19="SIM",$K$6,0))</f>
        <v>9.3</v>
      </c>
      <c r="N19" s="67" t="n">
        <f aca="false">H19*12+I19*4+L19*2+M19</f>
        <v>70.3</v>
      </c>
      <c r="O19" s="68" t="n">
        <f aca="false">IF(K19="não", N19*(C$25+D$25),N19*(C$25+D$25)+(M19*+E$25))</f>
        <v>4354.087</v>
      </c>
      <c r="P19" s="69"/>
      <c r="Q19" s="22" t="str">
        <f aca="false">B19</f>
        <v>GEX/APS FLORIANÓPOLIS</v>
      </c>
      <c r="R19" s="24" t="n">
        <f aca="false">H19*($C$25+$D$25)</f>
        <v>169.5</v>
      </c>
      <c r="S19" s="24" t="n">
        <f aca="false">I19*($C$25+$D$25)</f>
        <v>203.4</v>
      </c>
      <c r="T19" s="24" t="n">
        <f aca="false">L19*($C$25+$D$25)</f>
        <v>299.45</v>
      </c>
      <c r="U19" s="24" t="n">
        <f aca="false">IF(K19="não",M19*($C$25+$D$25),M19*(C$25+D$25+E$25))</f>
        <v>907.587</v>
      </c>
      <c r="V19" s="24" t="n">
        <f aca="false">VLOOKUP(Q19,'Desl. Base Florianópolis'!$C$5:$S$19,13,FALSE())*($C$25+$D$25+$E$25*(VLOOKUP(Q19,'Desl. Base Florianópolis'!$C$5:$S$19,17,FALSE())/12))</f>
        <v>4.4943125</v>
      </c>
      <c r="W19" s="24" t="n">
        <f aca="false">VLOOKUP(Q19,'Desl. Base Florianópolis'!$C$5:$S$19,15,FALSE())*(2+(VLOOKUP(Q19,'Desl. Base Florianópolis'!$C$5:$S$19,17,FALSE())/12))</f>
        <v>0</v>
      </c>
      <c r="X19" s="24" t="n">
        <f aca="false">VLOOKUP(Q19,'Desl. Base Florianópolis'!$C$5:$Q$19,14,FALSE())</f>
        <v>0</v>
      </c>
      <c r="Y19" s="24" t="n">
        <f aca="false">VLOOKUP(Q19,'Desl. Base Florianópolis'!$C$5:$Q$19,13,FALSE())*'Desl. Base Florianópolis'!$E$24+'Desl. Base Florianópolis'!$E$25*N19/12</f>
        <v>44.6169166666667</v>
      </c>
      <c r="Z19" s="24" t="n">
        <f aca="false">(H19/$AC$5)*'Equipe Técnica'!$C$13</f>
        <v>482.108351119386</v>
      </c>
      <c r="AA19" s="24" t="n">
        <f aca="false">(I19/$AC$5)*'Equipe Técnica'!$C$13</f>
        <v>578.530021343263</v>
      </c>
      <c r="AB19" s="24" t="n">
        <f aca="false">(L19/$AC$5)*'Equipe Técnica'!$C$13</f>
        <v>851.724753644249</v>
      </c>
      <c r="AC19" s="24" t="n">
        <f aca="false">(M19/$AC$5)*'Equipe Técnica'!$C$13</f>
        <v>1494.5358884701</v>
      </c>
      <c r="AD19" s="24" t="n">
        <f aca="false">R19+(($V19+$W19+$X19+$Y19)*12/19)+$Z19</f>
        <v>682.625969540439</v>
      </c>
      <c r="AE19" s="24" t="n">
        <f aca="false">S19+(($V19+$W19+$X19+$Y19)*12/19)+$AA19</f>
        <v>812.947639764316</v>
      </c>
      <c r="AF19" s="24" t="n">
        <f aca="false">T19+(($V19+$W19+$X19+$Y19)*12/19)+$AB19</f>
        <v>1182.1923720653</v>
      </c>
      <c r="AG19" s="24" t="n">
        <f aca="false">U19+(($V19+$W19+$X19+$Y19)*12/19)+$AC19</f>
        <v>2433.14050689115</v>
      </c>
      <c r="AI19" s="22" t="str">
        <f aca="false">B19</f>
        <v>GEX/APS FLORIANÓPOLIS</v>
      </c>
      <c r="AJ19" s="70" t="n">
        <f aca="false">VLOOKUP(AI19,Unidades!D$5:H$32,5,)</f>
        <v>0.2354</v>
      </c>
      <c r="AK19" s="50" t="n">
        <f aca="false">AD19*(1+$AJ19)</f>
        <v>843.316122770258</v>
      </c>
      <c r="AL19" s="50" t="n">
        <f aca="false">AE19*(1+$AJ19)</f>
        <v>1004.31551416484</v>
      </c>
      <c r="AM19" s="50" t="n">
        <f aca="false">AF19*(1+$AJ19)</f>
        <v>1460.48045644947</v>
      </c>
      <c r="AN19" s="50" t="n">
        <f aca="false">AG19*(1+$AJ19)</f>
        <v>3005.90178221333</v>
      </c>
      <c r="AO19" s="50" t="n">
        <f aca="false">((AK19*12)+(AL19*4)+(AM19*2)+AN19)/12</f>
        <v>1671.99318541789</v>
      </c>
      <c r="AP19" s="50" t="n">
        <f aca="false">AO19*3</f>
        <v>5015.97955625368</v>
      </c>
      <c r="AQ19" s="50" t="n">
        <f aca="false">AO19+AP19</f>
        <v>6687.97274167157</v>
      </c>
      <c r="AR19" s="71"/>
      <c r="AS19" s="71"/>
      <c r="AT19" s="71"/>
      <c r="AU19" s="71"/>
      <c r="AV19" s="71"/>
      <c r="AW19" s="71"/>
    </row>
    <row r="20" s="2" customFormat="true" ht="15" hidden="false" customHeight="true" outlineLevel="0" collapsed="false">
      <c r="B20" s="22" t="s">
        <v>100</v>
      </c>
      <c r="C20" s="66" t="n">
        <f aca="false">VLOOKUP($B20,Unidades!$D$5:$N$32,6,FALSE())</f>
        <v>232.69</v>
      </c>
      <c r="D20" s="66" t="n">
        <f aca="false">VLOOKUP($B20,Unidades!$D$5:$N$32,7,FALSE())</f>
        <v>201.69</v>
      </c>
      <c r="E20" s="66" t="n">
        <f aca="false">VLOOKUP($B20,Unidades!$D$5:$N$32,8,FALSE())</f>
        <v>31</v>
      </c>
      <c r="F20" s="66" t="n">
        <f aca="false">VLOOKUP($B20,Unidades!$D$5:$N$32,9,FALSE())</f>
        <v>0</v>
      </c>
      <c r="G20" s="66" t="n">
        <f aca="false">D20+E20*$E$6+F20*$F$6</f>
        <v>212.54</v>
      </c>
      <c r="H20" s="67" t="n">
        <f aca="false">IF(G20&lt;750,1.5,IF(G20&lt;2000,2,3))</f>
        <v>1.5</v>
      </c>
      <c r="I20" s="67" t="n">
        <f aca="false">$I$6*H20</f>
        <v>1.8</v>
      </c>
      <c r="J20" s="67" t="str">
        <f aca="false">VLOOKUP($B20,Unidades!$D$7:$N$32,10,FALSE())</f>
        <v>NÃO</v>
      </c>
      <c r="K20" s="67" t="str">
        <f aca="false">VLOOKUP($B20,Unidades!$D$7:$N$32,11,FALSE())</f>
        <v>NÃO</v>
      </c>
      <c r="L20" s="67" t="n">
        <f aca="false">$L$6*H20+(IF(J20="SIM",$J$6,0))</f>
        <v>1.65</v>
      </c>
      <c r="M20" s="67" t="n">
        <f aca="false">$M$6*H20+(IF(J20="SIM",$J$6,0))+(IF(K20="SIM",$K$6,0))</f>
        <v>1.65</v>
      </c>
      <c r="N20" s="67" t="n">
        <f aca="false">H20*12+I20*4+L20*2+M20</f>
        <v>30.15</v>
      </c>
      <c r="O20" s="68" t="n">
        <f aca="false">IF(K20="não", N20*(C$25+D$25),N20*(C$25+D$25)+(M20*+E$25))</f>
        <v>1703.475</v>
      </c>
      <c r="P20" s="69"/>
      <c r="Q20" s="22" t="str">
        <f aca="false">B20</f>
        <v>SALAS EMEDAUX</v>
      </c>
      <c r="R20" s="24" t="n">
        <f aca="false">H20*($C$25+$D$25)</f>
        <v>84.75</v>
      </c>
      <c r="S20" s="24" t="n">
        <f aca="false">I20*($C$25+$D$25)</f>
        <v>101.7</v>
      </c>
      <c r="T20" s="24" t="n">
        <f aca="false">L20*($C$25+$D$25)</f>
        <v>93.225</v>
      </c>
      <c r="U20" s="24" t="n">
        <f aca="false">IF(K20="não",M20*($C$25+$D$25),M20*(C$25+D$25+E$25))</f>
        <v>93.225</v>
      </c>
      <c r="V20" s="24" t="n">
        <f aca="false">VLOOKUP(Q20,'Desl. Base Florianópolis'!$C$5:$S$19,13,FALSE())*($C$25+$D$25+$E$25*(VLOOKUP(Q20,'Desl. Base Florianópolis'!$C$5:$S$19,17,FALSE())/12))</f>
        <v>8.48925694444444</v>
      </c>
      <c r="W20" s="24" t="n">
        <f aca="false">VLOOKUP(Q20,'Desl. Base Florianópolis'!$C$5:$S$19,15,FALSE())*(2+(VLOOKUP(Q20,'Desl. Base Florianópolis'!$C$5:$S$19,17,FALSE())/12))</f>
        <v>0</v>
      </c>
      <c r="X20" s="24" t="n">
        <f aca="false">VLOOKUP(Q20,'Desl. Base Florianópolis'!$C$5:$Q$19,14,FALSE())</f>
        <v>0</v>
      </c>
      <c r="Y20" s="24" t="n">
        <f aca="false">VLOOKUP(Q20,'Desl. Base Florianópolis'!$C$5:$Q$19,13,FALSE())*'Desl. Base Florianópolis'!$E$24+'Desl. Base Florianópolis'!$E$25*N20/12</f>
        <v>24.831375</v>
      </c>
      <c r="Z20" s="24" t="n">
        <f aca="false">(H20/$AC$5)*'Equipe Técnica'!$C$13</f>
        <v>241.054175559693</v>
      </c>
      <c r="AA20" s="24" t="n">
        <f aca="false">(I20/$AC$5)*'Equipe Técnica'!$C$13</f>
        <v>289.265010671632</v>
      </c>
      <c r="AB20" s="24" t="n">
        <f aca="false">(L20/$AC$5)*'Equipe Técnica'!$C$13</f>
        <v>265.159593115662</v>
      </c>
      <c r="AC20" s="24" t="n">
        <f aca="false">(M20/$AC$5)*'Equipe Técnica'!$C$13</f>
        <v>265.159593115662</v>
      </c>
      <c r="AD20" s="24" t="n">
        <f aca="false">R20+(($V20+$W20+$X20+$Y20)*12/19)+$Z20</f>
        <v>346.848785208816</v>
      </c>
      <c r="AE20" s="24" t="n">
        <f aca="false">S20+(($V20+$W20+$X20+$Y20)*12/19)+$AA20</f>
        <v>412.009620320754</v>
      </c>
      <c r="AF20" s="24" t="n">
        <f aca="false">T20+(($V20+$W20+$X20+$Y20)*12/19)+$AB20</f>
        <v>379.429202764785</v>
      </c>
      <c r="AG20" s="24" t="n">
        <f aca="false">U20+(($V20+$W20+$X20+$Y20)*12/19)+$AC20</f>
        <v>379.429202764785</v>
      </c>
      <c r="AI20" s="22" t="str">
        <f aca="false">B20</f>
        <v>SALAS EMEDAUX</v>
      </c>
      <c r="AJ20" s="70" t="n">
        <f aca="false">VLOOKUP(AI20,Unidades!D$5:H$32,5,)</f>
        <v>0.2354</v>
      </c>
      <c r="AK20" s="50" t="n">
        <f aca="false">AD20*(1+$AJ20)</f>
        <v>428.496989246971</v>
      </c>
      <c r="AL20" s="50" t="n">
        <f aca="false">AE20*(1+$AJ20)</f>
        <v>508.99668494426</v>
      </c>
      <c r="AM20" s="50" t="n">
        <f aca="false">AF20*(1+$AJ20)</f>
        <v>468.746837095616</v>
      </c>
      <c r="AN20" s="50" t="n">
        <f aca="false">AG20*(1+$AJ20)</f>
        <v>468.746837095616</v>
      </c>
      <c r="AO20" s="50" t="n">
        <f aca="false">((AK20*12)+(AL20*4)+(AM20*2)+AN20)/12</f>
        <v>715.349260168962</v>
      </c>
      <c r="AP20" s="50" t="n">
        <f aca="false">AO20*3</f>
        <v>2146.04778050689</v>
      </c>
      <c r="AQ20" s="50" t="n">
        <f aca="false">AO20+AP20</f>
        <v>2861.39704067585</v>
      </c>
      <c r="AR20" s="71"/>
      <c r="AS20" s="71"/>
      <c r="AT20" s="71"/>
      <c r="AU20" s="71"/>
      <c r="AV20" s="71"/>
      <c r="AW20" s="71"/>
    </row>
    <row r="21" customFormat="false" ht="15" hidden="false" customHeight="true" outlineLevel="0" collapsed="false">
      <c r="A21" s="2"/>
      <c r="B21" s="22" t="s">
        <v>101</v>
      </c>
      <c r="C21" s="66" t="n">
        <f aca="false">VLOOKUP($B21,Unidades!$D$5:$N$32,6,FALSE())</f>
        <v>4818.5</v>
      </c>
      <c r="D21" s="66" t="n">
        <f aca="false">VLOOKUP($B21,Unidades!$D$5:$N$32,7,FALSE())</f>
        <v>4139.1</v>
      </c>
      <c r="E21" s="66" t="n">
        <f aca="false">VLOOKUP($B21,Unidades!$D$5:$N$32,8,FALSE())</f>
        <v>679.4</v>
      </c>
      <c r="F21" s="66" t="n">
        <f aca="false">VLOOKUP($B21,Unidades!$D$5:$N$32,9,FALSE())</f>
        <v>0</v>
      </c>
      <c r="G21" s="66" t="n">
        <f aca="false">D21+E21*$E$6+F21*$F$6</f>
        <v>4376.89</v>
      </c>
      <c r="H21" s="67" t="n">
        <f aca="false">IF(G21&lt;750,1.5,IF(G21&lt;2000,2,3))</f>
        <v>3</v>
      </c>
      <c r="I21" s="67" t="n">
        <f aca="false">$I$6*H21</f>
        <v>3.6</v>
      </c>
      <c r="J21" s="67" t="str">
        <f aca="false">VLOOKUP($B21,Unidades!$D$7:$N$32,10,FALSE())</f>
        <v>SIM</v>
      </c>
      <c r="K21" s="67" t="str">
        <f aca="false">VLOOKUP($B21,Unidades!$D$7:$N$32,11,FALSE())</f>
        <v>SIM</v>
      </c>
      <c r="L21" s="67" t="n">
        <f aca="false">$L$6*H21+(IF(J21="SIM",$J$6,0))</f>
        <v>5.3</v>
      </c>
      <c r="M21" s="67" t="n">
        <f aca="false">$M$6*H21+(IF(J21="SIM",$J$6,0))+(IF(K21="SIM",$K$6,0))</f>
        <v>9.3</v>
      </c>
      <c r="N21" s="67" t="n">
        <f aca="false">H21*12+I21*4+L21*2+M21</f>
        <v>70.3</v>
      </c>
      <c r="O21" s="68" t="n">
        <f aca="false">IF(K21="não", N21*(C$25+D$25),N21*(C$25+D$25)+(M21*+E$25))</f>
        <v>4354.087</v>
      </c>
      <c r="P21" s="69"/>
      <c r="Q21" s="22" t="str">
        <f aca="false">B21</f>
        <v>SEDE DA SUPERINTENDÊNCIA</v>
      </c>
      <c r="R21" s="24" t="n">
        <f aca="false">H21*($C$25+$D$25)</f>
        <v>169.5</v>
      </c>
      <c r="S21" s="24" t="n">
        <f aca="false">I21*($C$25+$D$25)</f>
        <v>203.4</v>
      </c>
      <c r="T21" s="24" t="n">
        <f aca="false">L21*($C$25+$D$25)</f>
        <v>299.45</v>
      </c>
      <c r="U21" s="24" t="n">
        <f aca="false">IF(K21="não",M21*($C$25+$D$25),M21*(C$25+D$25+E$25))</f>
        <v>907.587</v>
      </c>
      <c r="V21" s="24" t="n">
        <f aca="false">VLOOKUP(Q21,'Desl. Base Florianópolis'!$C$5:$S$19,13,FALSE())*($C$25+$D$25+$E$25*(VLOOKUP(Q21,'Desl. Base Florianópolis'!$C$5:$S$19,17,FALSE())/12))</f>
        <v>4.4943125</v>
      </c>
      <c r="W21" s="24" t="n">
        <f aca="false">VLOOKUP(Q21,'Desl. Base Florianópolis'!$C$5:$S$19,15,FALSE())*(2+(VLOOKUP(Q21,'Desl. Base Florianópolis'!$C$5:$S$19,17,FALSE())/12))</f>
        <v>0</v>
      </c>
      <c r="X21" s="24" t="n">
        <f aca="false">VLOOKUP(Q21,'Desl. Base Florianópolis'!$C$5:$Q$19,14,FALSE())</f>
        <v>0</v>
      </c>
      <c r="Y21" s="24" t="n">
        <f aca="false">VLOOKUP(Q21,'Desl. Base Florianópolis'!$C$5:$Q$19,13,FALSE())*'Desl. Base Florianópolis'!$E$24+'Desl. Base Florianópolis'!$E$25*N21/12</f>
        <v>44.6169166666667</v>
      </c>
      <c r="Z21" s="24" t="n">
        <f aca="false">(H21/$AC$5)*'Equipe Técnica'!$C$13</f>
        <v>482.108351119386</v>
      </c>
      <c r="AA21" s="24" t="n">
        <f aca="false">(I21/$AC$5)*'Equipe Técnica'!$C$13</f>
        <v>578.530021343263</v>
      </c>
      <c r="AB21" s="24" t="n">
        <f aca="false">(L21/$AC$5)*'Equipe Técnica'!$C$13</f>
        <v>851.724753644249</v>
      </c>
      <c r="AC21" s="24" t="n">
        <f aca="false">(M21/$AC$5)*'Equipe Técnica'!$C$13</f>
        <v>1494.5358884701</v>
      </c>
      <c r="AD21" s="24" t="n">
        <f aca="false">R21+(($V21+$W21+$X21+$Y21)*12/19)+$Z21</f>
        <v>682.625969540439</v>
      </c>
      <c r="AE21" s="24" t="n">
        <f aca="false">S21+(($V21+$W21+$X21+$Y21)*12/19)+$AA21</f>
        <v>812.947639764316</v>
      </c>
      <c r="AF21" s="24" t="n">
        <f aca="false">T21+(($V21+$W21+$X21+$Y21)*12/19)+$AB21</f>
        <v>1182.1923720653</v>
      </c>
      <c r="AG21" s="24" t="n">
        <f aca="false">U21+(($V21+$W21+$X21+$Y21)*12/19)+$AC21</f>
        <v>2433.14050689115</v>
      </c>
      <c r="AH21" s="2"/>
      <c r="AI21" s="22" t="str">
        <f aca="false">B21</f>
        <v>SEDE DA SUPERINTENDÊNCIA</v>
      </c>
      <c r="AJ21" s="70" t="n">
        <f aca="false">VLOOKUP(AI21,Unidades!D$5:H$32,5,)</f>
        <v>0.2354</v>
      </c>
      <c r="AK21" s="50" t="n">
        <f aca="false">AD21*(1+$AJ21)</f>
        <v>843.316122770258</v>
      </c>
      <c r="AL21" s="50" t="n">
        <f aca="false">AE21*(1+$AJ21)</f>
        <v>1004.31551416484</v>
      </c>
      <c r="AM21" s="50" t="n">
        <f aca="false">AF21*(1+$AJ21)</f>
        <v>1460.48045644947</v>
      </c>
      <c r="AN21" s="50" t="n">
        <f aca="false">AG21*(1+$AJ21)</f>
        <v>3005.90178221333</v>
      </c>
      <c r="AO21" s="50" t="n">
        <f aca="false">((AK21*12)+(AL21*4)+(AM21*2)+AN21)/12</f>
        <v>1671.99318541789</v>
      </c>
      <c r="AP21" s="50" t="n">
        <f aca="false">AO21*3</f>
        <v>5015.97955625368</v>
      </c>
      <c r="AQ21" s="50" t="n">
        <f aca="false">AO21+AP21</f>
        <v>6687.97274167157</v>
      </c>
      <c r="AR21" s="71"/>
      <c r="AS21" s="71"/>
      <c r="AT21" s="71"/>
      <c r="AU21" s="71"/>
      <c r="AV21" s="71"/>
      <c r="AW21" s="71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  <c r="PF21" s="2"/>
      <c r="PG21" s="2"/>
      <c r="PH21" s="2"/>
      <c r="PI21" s="2"/>
      <c r="PJ21" s="2"/>
      <c r="PK21" s="2"/>
      <c r="PL21" s="2"/>
      <c r="PM21" s="2"/>
      <c r="PN21" s="2"/>
      <c r="PO21" s="2"/>
      <c r="PP21" s="2"/>
      <c r="PQ21" s="2"/>
      <c r="PR21" s="2"/>
      <c r="PS21" s="2"/>
      <c r="PT21" s="2"/>
      <c r="PU21" s="2"/>
      <c r="PV21" s="2"/>
      <c r="PW21" s="2"/>
      <c r="PX21" s="2"/>
      <c r="PY21" s="2"/>
      <c r="PZ21" s="2"/>
      <c r="QA21" s="2"/>
      <c r="QB21" s="2"/>
      <c r="QC21" s="2"/>
      <c r="QD21" s="2"/>
      <c r="QE21" s="2"/>
      <c r="QF21" s="2"/>
      <c r="QG21" s="2"/>
      <c r="QH21" s="2"/>
      <c r="QI21" s="2"/>
      <c r="QJ21" s="2"/>
      <c r="QK21" s="2"/>
      <c r="QL21" s="2"/>
      <c r="QM21" s="2"/>
      <c r="QN21" s="2"/>
      <c r="QO21" s="2"/>
      <c r="QP21" s="2"/>
      <c r="QQ21" s="2"/>
      <c r="QR21" s="2"/>
      <c r="QS21" s="2"/>
      <c r="QT21" s="2"/>
      <c r="QU21" s="2"/>
      <c r="QV21" s="2"/>
      <c r="QW21" s="2"/>
      <c r="QX21" s="2"/>
      <c r="QY21" s="2"/>
      <c r="QZ21" s="2"/>
      <c r="RA21" s="2"/>
      <c r="RB21" s="2"/>
      <c r="RC21" s="2"/>
      <c r="RD21" s="2"/>
      <c r="RE21" s="2"/>
      <c r="RF21" s="2"/>
      <c r="RG21" s="2"/>
      <c r="RH21" s="2"/>
      <c r="RI21" s="2"/>
      <c r="RJ21" s="2"/>
      <c r="RK21" s="2"/>
      <c r="RL21" s="2"/>
      <c r="RM21" s="2"/>
      <c r="RN21" s="2"/>
      <c r="RO21" s="2"/>
      <c r="RP21" s="2"/>
      <c r="RQ21" s="2"/>
      <c r="RR21" s="2"/>
      <c r="RS21" s="2"/>
      <c r="RT21" s="2"/>
      <c r="RU21" s="2"/>
      <c r="RV21" s="2"/>
      <c r="RW21" s="2"/>
      <c r="RX21" s="2"/>
      <c r="RY21" s="2"/>
      <c r="RZ21" s="2"/>
      <c r="SA21" s="2"/>
      <c r="SB21" s="2"/>
      <c r="SC21" s="2"/>
      <c r="SD21" s="2"/>
      <c r="SE21" s="2"/>
      <c r="SF21" s="2"/>
      <c r="SG21" s="2"/>
      <c r="SH21" s="2"/>
      <c r="SI21" s="2"/>
      <c r="SJ21" s="2"/>
      <c r="SK21" s="2"/>
      <c r="SL21" s="2"/>
      <c r="SM21" s="2"/>
      <c r="SN21" s="2"/>
      <c r="SO21" s="2"/>
      <c r="SP21" s="2"/>
      <c r="SQ21" s="2"/>
      <c r="SR21" s="2"/>
      <c r="SS21" s="2"/>
      <c r="ST21" s="2"/>
      <c r="SU21" s="2"/>
      <c r="SV21" s="2"/>
      <c r="SW21" s="2"/>
      <c r="SX21" s="2"/>
      <c r="SY21" s="2"/>
      <c r="SZ21" s="2"/>
      <c r="TA21" s="2"/>
      <c r="TB21" s="2"/>
      <c r="TC21" s="2"/>
      <c r="TD21" s="2"/>
      <c r="TE21" s="2"/>
      <c r="TF21" s="2"/>
      <c r="TG21" s="2"/>
      <c r="TH21" s="2"/>
      <c r="TI21" s="2"/>
      <c r="TJ21" s="2"/>
      <c r="TK21" s="2"/>
      <c r="TL21" s="2"/>
      <c r="TM21" s="2"/>
      <c r="TN21" s="2"/>
      <c r="TO21" s="2"/>
      <c r="TP21" s="2"/>
      <c r="TQ21" s="2"/>
      <c r="TR21" s="2"/>
      <c r="TS21" s="2"/>
      <c r="TT21" s="2"/>
      <c r="TU21" s="2"/>
      <c r="TV21" s="2"/>
      <c r="TW21" s="2"/>
      <c r="TX21" s="2"/>
      <c r="TY21" s="2"/>
      <c r="TZ21" s="2"/>
      <c r="UA21" s="2"/>
      <c r="UB21" s="2"/>
      <c r="UC21" s="2"/>
      <c r="UD21" s="2"/>
      <c r="UE21" s="2"/>
      <c r="UF21" s="2"/>
      <c r="UG21" s="2"/>
      <c r="UH21" s="2"/>
      <c r="UI21" s="2"/>
      <c r="UJ21" s="2"/>
      <c r="UK21" s="2"/>
      <c r="UL21" s="2"/>
      <c r="UM21" s="2"/>
      <c r="UN21" s="2"/>
      <c r="UO21" s="2"/>
      <c r="UP21" s="2"/>
      <c r="UQ21" s="2"/>
      <c r="UR21" s="2"/>
      <c r="US21" s="2"/>
      <c r="UT21" s="2"/>
      <c r="UU21" s="2"/>
      <c r="UV21" s="2"/>
      <c r="UW21" s="2"/>
      <c r="UX21" s="2"/>
      <c r="UY21" s="2"/>
      <c r="UZ21" s="2"/>
      <c r="VA21" s="2"/>
      <c r="VB21" s="2"/>
      <c r="VC21" s="2"/>
      <c r="VD21" s="2"/>
      <c r="VE21" s="2"/>
      <c r="VF21" s="2"/>
      <c r="VG21" s="2"/>
      <c r="VH21" s="2"/>
      <c r="VI21" s="2"/>
      <c r="VJ21" s="2"/>
      <c r="VK21" s="2"/>
      <c r="VL21" s="2"/>
      <c r="VM21" s="2"/>
      <c r="VN21" s="2"/>
      <c r="VO21" s="2"/>
      <c r="VP21" s="2"/>
      <c r="VQ21" s="2"/>
      <c r="VR21" s="2"/>
      <c r="VS21" s="2"/>
      <c r="VT21" s="2"/>
      <c r="VU21" s="2"/>
      <c r="VV21" s="2"/>
      <c r="VW21" s="2"/>
      <c r="VX21" s="2"/>
      <c r="VY21" s="2"/>
      <c r="VZ21" s="2"/>
      <c r="WA21" s="2"/>
      <c r="WB21" s="2"/>
      <c r="WC21" s="2"/>
      <c r="WD21" s="2"/>
      <c r="WE21" s="2"/>
      <c r="WF21" s="2"/>
      <c r="WG21" s="2"/>
      <c r="WH21" s="2"/>
      <c r="WI21" s="2"/>
      <c r="WJ21" s="2"/>
      <c r="WK21" s="2"/>
      <c r="WL21" s="2"/>
      <c r="WM21" s="2"/>
      <c r="WN21" s="2"/>
      <c r="WO21" s="2"/>
      <c r="WP21" s="2"/>
      <c r="WQ21" s="2"/>
      <c r="WR21" s="2"/>
      <c r="WS21" s="2"/>
      <c r="WT21" s="2"/>
      <c r="WU21" s="2"/>
      <c r="WV21" s="2"/>
      <c r="WW21" s="2"/>
      <c r="WX21" s="2"/>
      <c r="WY21" s="2"/>
      <c r="WZ21" s="2"/>
      <c r="XA21" s="2"/>
      <c r="XB21" s="2"/>
      <c r="XC21" s="2"/>
      <c r="XD21" s="2"/>
      <c r="XE21" s="2"/>
      <c r="XF21" s="2"/>
      <c r="XG21" s="2"/>
      <c r="XH21" s="2"/>
      <c r="XI21" s="2"/>
      <c r="XJ21" s="2"/>
      <c r="XK21" s="2"/>
      <c r="XL21" s="2"/>
      <c r="XM21" s="2"/>
      <c r="XN21" s="2"/>
      <c r="XO21" s="2"/>
      <c r="XP21" s="2"/>
      <c r="XQ21" s="2"/>
      <c r="XR21" s="2"/>
      <c r="XS21" s="2"/>
      <c r="XT21" s="2"/>
      <c r="XU21" s="2"/>
      <c r="XV21" s="2"/>
      <c r="XW21" s="2"/>
      <c r="XX21" s="2"/>
      <c r="XY21" s="2"/>
      <c r="XZ21" s="2"/>
      <c r="YA21" s="2"/>
      <c r="YB21" s="2"/>
      <c r="YC21" s="2"/>
      <c r="YD21" s="2"/>
      <c r="YE21" s="2"/>
      <c r="YF21" s="2"/>
      <c r="YG21" s="2"/>
      <c r="YH21" s="2"/>
      <c r="YI21" s="2"/>
      <c r="YJ21" s="2"/>
      <c r="YK21" s="2"/>
      <c r="YL21" s="2"/>
      <c r="YM21" s="2"/>
      <c r="YN21" s="2"/>
      <c r="YO21" s="2"/>
      <c r="YP21" s="2"/>
      <c r="YQ21" s="2"/>
      <c r="YR21" s="2"/>
      <c r="YS21" s="2"/>
      <c r="YT21" s="2"/>
      <c r="YU21" s="2"/>
      <c r="YV21" s="2"/>
      <c r="YW21" s="2"/>
      <c r="YX21" s="2"/>
      <c r="YY21" s="2"/>
      <c r="YZ21" s="2"/>
      <c r="ZA21" s="2"/>
      <c r="ZB21" s="2"/>
      <c r="ZC21" s="2"/>
      <c r="ZD21" s="2"/>
      <c r="ZE21" s="2"/>
      <c r="ZF21" s="2"/>
      <c r="ZG21" s="2"/>
      <c r="ZH21" s="2"/>
      <c r="ZI21" s="2"/>
      <c r="ZJ21" s="2"/>
      <c r="ZK21" s="2"/>
      <c r="ZL21" s="2"/>
      <c r="ZM21" s="2"/>
      <c r="ZN21" s="2"/>
      <c r="ZO21" s="2"/>
      <c r="ZP21" s="2"/>
      <c r="ZQ21" s="2"/>
      <c r="ZR21" s="2"/>
      <c r="ZS21" s="2"/>
      <c r="ZT21" s="2"/>
      <c r="ZU21" s="2"/>
      <c r="ZV21" s="2"/>
      <c r="ZW21" s="2"/>
      <c r="ZX21" s="2"/>
      <c r="ZY21" s="2"/>
      <c r="ZZ21" s="2"/>
      <c r="AAA21" s="2"/>
      <c r="AAB21" s="2"/>
      <c r="AAC21" s="2"/>
      <c r="AAD21" s="2"/>
      <c r="AAE21" s="2"/>
      <c r="AAF21" s="2"/>
      <c r="AAG21" s="2"/>
      <c r="AAH21" s="2"/>
      <c r="AAI21" s="2"/>
      <c r="AAJ21" s="2"/>
      <c r="AAK21" s="2"/>
      <c r="AAL21" s="2"/>
      <c r="AAM21" s="2"/>
      <c r="AAN21" s="2"/>
      <c r="AAO21" s="2"/>
      <c r="AAP21" s="2"/>
      <c r="AAQ21" s="2"/>
      <c r="AAR21" s="2"/>
      <c r="AAS21" s="2"/>
      <c r="AAT21" s="2"/>
      <c r="AAU21" s="2"/>
      <c r="AAV21" s="2"/>
      <c r="AAW21" s="2"/>
      <c r="AAX21" s="2"/>
      <c r="AAY21" s="2"/>
      <c r="AAZ21" s="2"/>
      <c r="ABA21" s="2"/>
      <c r="ABB21" s="2"/>
      <c r="ABC21" s="2"/>
      <c r="ABD21" s="2"/>
      <c r="ABE21" s="2"/>
      <c r="ABF21" s="2"/>
      <c r="ABG21" s="2"/>
      <c r="ABH21" s="2"/>
      <c r="ABI21" s="2"/>
      <c r="ABJ21" s="2"/>
      <c r="ABK21" s="2"/>
      <c r="ABL21" s="2"/>
      <c r="ABM21" s="2"/>
      <c r="ABN21" s="2"/>
      <c r="ABO21" s="2"/>
      <c r="ABP21" s="2"/>
      <c r="ABQ21" s="2"/>
      <c r="ABR21" s="2"/>
      <c r="ABS21" s="2"/>
      <c r="ABT21" s="2"/>
      <c r="ABU21" s="2"/>
      <c r="ABV21" s="2"/>
      <c r="ABW21" s="2"/>
      <c r="ABX21" s="2"/>
      <c r="ABY21" s="2"/>
      <c r="ABZ21" s="2"/>
      <c r="ACA21" s="2"/>
      <c r="ACB21" s="2"/>
      <c r="ACC21" s="2"/>
      <c r="ACD21" s="2"/>
      <c r="ACE21" s="2"/>
      <c r="ACF21" s="2"/>
      <c r="ACG21" s="2"/>
      <c r="ACH21" s="2"/>
      <c r="ACI21" s="2"/>
      <c r="ACJ21" s="2"/>
      <c r="ACK21" s="2"/>
      <c r="ACL21" s="2"/>
      <c r="ACM21" s="2"/>
      <c r="ACN21" s="2"/>
      <c r="ACO21" s="2"/>
      <c r="ACP21" s="2"/>
      <c r="ACQ21" s="2"/>
      <c r="ACR21" s="2"/>
      <c r="ACS21" s="2"/>
      <c r="ACT21" s="2"/>
      <c r="ACU21" s="2"/>
      <c r="ACV21" s="2"/>
      <c r="ACW21" s="2"/>
      <c r="ACX21" s="2"/>
      <c r="ACY21" s="2"/>
      <c r="ACZ21" s="2"/>
      <c r="ADA21" s="2"/>
      <c r="ADB21" s="2"/>
      <c r="ADC21" s="2"/>
      <c r="ADD21" s="2"/>
      <c r="ADE21" s="2"/>
      <c r="ADF21" s="2"/>
      <c r="ADG21" s="2"/>
      <c r="ADH21" s="2"/>
      <c r="ADI21" s="2"/>
      <c r="ADJ21" s="2"/>
      <c r="ADK21" s="2"/>
      <c r="ADL21" s="2"/>
      <c r="ADM21" s="2"/>
      <c r="ADN21" s="2"/>
      <c r="ADO21" s="2"/>
      <c r="ADP21" s="2"/>
      <c r="ADQ21" s="2"/>
      <c r="ADR21" s="2"/>
      <c r="ADS21" s="2"/>
      <c r="ADT21" s="2"/>
      <c r="ADU21" s="2"/>
      <c r="ADV21" s="2"/>
      <c r="ADW21" s="2"/>
      <c r="ADX21" s="2"/>
      <c r="ADY21" s="2"/>
      <c r="ADZ21" s="2"/>
      <c r="AEA21" s="2"/>
      <c r="AEB21" s="2"/>
      <c r="AEC21" s="2"/>
      <c r="AED21" s="2"/>
      <c r="AEE21" s="2"/>
      <c r="AEF21" s="2"/>
      <c r="AEG21" s="2"/>
      <c r="AEH21" s="2"/>
      <c r="AEI21" s="2"/>
      <c r="AEJ21" s="2"/>
      <c r="AEK21" s="2"/>
      <c r="AEL21" s="2"/>
      <c r="AEM21" s="2"/>
      <c r="AEN21" s="2"/>
      <c r="AEO21" s="2"/>
      <c r="AEP21" s="2"/>
      <c r="AEQ21" s="2"/>
      <c r="AER21" s="2"/>
      <c r="AES21" s="2"/>
      <c r="AET21" s="2"/>
      <c r="AEU21" s="2"/>
      <c r="AEV21" s="2"/>
      <c r="AEW21" s="2"/>
      <c r="AEX21" s="2"/>
      <c r="AEY21" s="2"/>
      <c r="AEZ21" s="2"/>
      <c r="AFA21" s="2"/>
      <c r="AFB21" s="2"/>
      <c r="AFC21" s="2"/>
      <c r="AFD21" s="2"/>
      <c r="AFE21" s="2"/>
      <c r="AFF21" s="2"/>
      <c r="AFG21" s="2"/>
      <c r="AFH21" s="2"/>
      <c r="AFI21" s="2"/>
      <c r="AFJ21" s="2"/>
      <c r="AFK21" s="2"/>
      <c r="AFL21" s="2"/>
      <c r="AFM21" s="2"/>
      <c r="AFN21" s="2"/>
      <c r="AFO21" s="2"/>
      <c r="AFP21" s="2"/>
      <c r="AFQ21" s="2"/>
      <c r="AFR21" s="2"/>
      <c r="AFS21" s="2"/>
      <c r="AFT21" s="2"/>
      <c r="AFU21" s="2"/>
      <c r="AFV21" s="2"/>
      <c r="AFW21" s="2"/>
      <c r="AFX21" s="2"/>
      <c r="AFY21" s="2"/>
      <c r="AFZ21" s="2"/>
      <c r="AGA21" s="2"/>
      <c r="AGB21" s="2"/>
      <c r="AGC21" s="2"/>
      <c r="AGD21" s="2"/>
      <c r="AGE21" s="2"/>
      <c r="AGF21" s="2"/>
      <c r="AGG21" s="2"/>
      <c r="AGH21" s="2"/>
      <c r="AGI21" s="2"/>
      <c r="AGJ21" s="2"/>
      <c r="AGK21" s="2"/>
      <c r="AGL21" s="2"/>
      <c r="AGM21" s="2"/>
      <c r="AGN21" s="2"/>
      <c r="AGO21" s="2"/>
      <c r="AGP21" s="2"/>
      <c r="AGQ21" s="2"/>
      <c r="AGR21" s="2"/>
      <c r="AGS21" s="2"/>
      <c r="AGT21" s="2"/>
      <c r="AGU21" s="2"/>
      <c r="AGV21" s="2"/>
      <c r="AGW21" s="2"/>
      <c r="AGX21" s="2"/>
      <c r="AGY21" s="2"/>
      <c r="AGZ21" s="2"/>
      <c r="AHA21" s="2"/>
      <c r="AHB21" s="2"/>
      <c r="AHC21" s="2"/>
      <c r="AHD21" s="2"/>
      <c r="AHE21" s="2"/>
      <c r="AHF21" s="2"/>
      <c r="AHG21" s="2"/>
      <c r="AHH21" s="2"/>
      <c r="AHI21" s="2"/>
      <c r="AHJ21" s="2"/>
      <c r="AHK21" s="2"/>
      <c r="AHL21" s="2"/>
      <c r="AHM21" s="2"/>
      <c r="AHN21" s="2"/>
      <c r="AHO21" s="2"/>
      <c r="AHP21" s="2"/>
      <c r="AHQ21" s="2"/>
      <c r="AHR21" s="2"/>
      <c r="AHS21" s="2"/>
      <c r="AHT21" s="2"/>
      <c r="AHU21" s="2"/>
      <c r="AHV21" s="2"/>
      <c r="AHW21" s="2"/>
      <c r="AHX21" s="2"/>
      <c r="AHY21" s="2"/>
      <c r="AHZ21" s="2"/>
      <c r="AIA21" s="2"/>
      <c r="AIB21" s="2"/>
      <c r="AIC21" s="2"/>
      <c r="AID21" s="2"/>
      <c r="AIE21" s="2"/>
      <c r="AIF21" s="2"/>
      <c r="AIG21" s="2"/>
      <c r="AIH21" s="2"/>
      <c r="AII21" s="2"/>
      <c r="AIJ21" s="2"/>
      <c r="AIK21" s="2"/>
      <c r="AIL21" s="2"/>
      <c r="AIM21" s="2"/>
      <c r="AIN21" s="2"/>
      <c r="AIO21" s="2"/>
      <c r="AIP21" s="2"/>
      <c r="AIQ21" s="2"/>
      <c r="AIR21" s="2"/>
      <c r="AIS21" s="2"/>
      <c r="AIT21" s="2"/>
      <c r="AIU21" s="2"/>
      <c r="AIV21" s="2"/>
      <c r="AIW21" s="2"/>
      <c r="AIX21" s="2"/>
      <c r="AIY21" s="2"/>
      <c r="AIZ21" s="2"/>
      <c r="AJA21" s="2"/>
      <c r="AJB21" s="2"/>
      <c r="AJC21" s="2"/>
      <c r="AJD21" s="2"/>
      <c r="AJE21" s="2"/>
      <c r="AJF21" s="2"/>
      <c r="AJG21" s="2"/>
      <c r="AJH21" s="2"/>
      <c r="AJI21" s="2"/>
      <c r="AJJ21" s="2"/>
      <c r="AJK21" s="2"/>
      <c r="AJL21" s="2"/>
      <c r="AJM21" s="2"/>
      <c r="AJN21" s="2"/>
      <c r="AJO21" s="2"/>
      <c r="AJP21" s="2"/>
      <c r="AJQ21" s="2"/>
      <c r="AJR21" s="2"/>
      <c r="AJS21" s="2"/>
      <c r="AJT21" s="2"/>
      <c r="AJU21" s="2"/>
      <c r="AJV21" s="2"/>
      <c r="AJW21" s="2"/>
      <c r="AJX21" s="2"/>
      <c r="AJY21" s="2"/>
      <c r="AJZ21" s="2"/>
      <c r="AKA21" s="2"/>
      <c r="AKB21" s="2"/>
      <c r="AKC21" s="2"/>
      <c r="AKD21" s="2"/>
      <c r="AKE21" s="2"/>
      <c r="AKF21" s="2"/>
      <c r="AKG21" s="2"/>
      <c r="AKH21" s="2"/>
      <c r="AKI21" s="2"/>
      <c r="AKJ21" s="2"/>
      <c r="AKK21" s="2"/>
      <c r="AKL21" s="2"/>
      <c r="AKM21" s="2"/>
      <c r="AKN21" s="2"/>
      <c r="AKO21" s="2"/>
      <c r="AKP21" s="2"/>
      <c r="AKQ21" s="2"/>
      <c r="AKR21" s="2"/>
      <c r="AKS21" s="2"/>
      <c r="AKT21" s="2"/>
      <c r="AKU21" s="2"/>
      <c r="AKV21" s="2"/>
      <c r="AKW21" s="2"/>
      <c r="AKX21" s="2"/>
      <c r="AKY21" s="2"/>
      <c r="AKZ21" s="2"/>
      <c r="ALA21" s="2"/>
      <c r="ALB21" s="2"/>
      <c r="ALC21" s="2"/>
      <c r="ALD21" s="2"/>
      <c r="ALE21" s="2"/>
      <c r="ALF21" s="2"/>
      <c r="ALG21" s="2"/>
      <c r="ALH21" s="2"/>
      <c r="ALI21" s="2"/>
      <c r="ALJ21" s="2"/>
      <c r="ALK21" s="2"/>
      <c r="ALL21" s="2"/>
      <c r="ALM21" s="2"/>
      <c r="ALN21" s="2"/>
      <c r="ALO21" s="2"/>
      <c r="ALP21" s="2"/>
      <c r="ALQ21" s="2"/>
      <c r="ALR21" s="2"/>
      <c r="ALS21" s="2"/>
      <c r="ALT21" s="2"/>
      <c r="ALU21" s="2"/>
      <c r="ALV21" s="2"/>
      <c r="ALW21" s="2"/>
      <c r="ALX21" s="2"/>
    </row>
    <row r="22" customFormat="false" ht="19.5" hidden="false" customHeight="true" outlineLevel="0" collapsed="false">
      <c r="A22" s="57"/>
      <c r="B22" s="32"/>
      <c r="C22" s="75" t="n">
        <f aca="false">SUM(C7:C21)</f>
        <v>26372.32</v>
      </c>
      <c r="D22" s="75" t="n">
        <f aca="false">SUM(D7:D21)</f>
        <v>13592.5</v>
      </c>
      <c r="E22" s="75" t="n">
        <f aca="false">SUM(E7:E21)</f>
        <v>6162.03</v>
      </c>
      <c r="F22" s="75" t="n">
        <f aca="false">SUM(F7:F21)</f>
        <v>6617.79</v>
      </c>
      <c r="G22" s="75" t="n">
        <f aca="false">SUM(G7:G21)</f>
        <v>16410.9895</v>
      </c>
      <c r="H22" s="76" t="n">
        <f aca="false">SUM(H7:H21)</f>
        <v>28</v>
      </c>
      <c r="I22" s="76" t="n">
        <f aca="false">SUM(I7:I21)</f>
        <v>33.6</v>
      </c>
      <c r="J22" s="76" t="n">
        <f aca="false">COUNTIF(J7:J21,"SIM")</f>
        <v>5</v>
      </c>
      <c r="K22" s="76" t="n">
        <f aca="false">COUNTIF(K7:K21,"SIM")</f>
        <v>7</v>
      </c>
      <c r="L22" s="76" t="n">
        <f aca="false">SUM(L7:L21)</f>
        <v>40.8</v>
      </c>
      <c r="M22" s="76" t="n">
        <f aca="false">SUM(M7:M21)</f>
        <v>68.8</v>
      </c>
      <c r="N22" s="76" t="n">
        <f aca="false">SUM(N7:N21)</f>
        <v>620.8</v>
      </c>
      <c r="O22" s="77" t="n">
        <f aca="false">SUM(O7:O21)</f>
        <v>37359.804</v>
      </c>
      <c r="P22" s="78"/>
      <c r="Q22" s="76" t="s">
        <v>102</v>
      </c>
      <c r="R22" s="79" t="n">
        <f aca="false">SUM(R7:R21)</f>
        <v>1582</v>
      </c>
      <c r="S22" s="79" t="n">
        <f aca="false">SUM(S7:S21)</f>
        <v>1898.4</v>
      </c>
      <c r="T22" s="79" t="n">
        <f aca="false">SUM(T7:T21)</f>
        <v>2305.2</v>
      </c>
      <c r="U22" s="79" t="n">
        <f aca="false">SUM(U7:U21)</f>
        <v>6171.804</v>
      </c>
      <c r="V22" s="79" t="n">
        <f aca="false">SUM(V7:V21)</f>
        <v>1232.75443055556</v>
      </c>
      <c r="W22" s="79" t="n">
        <f aca="false">SUM(W7:W21)</f>
        <v>553.083333333333</v>
      </c>
      <c r="X22" s="79" t="n">
        <f aca="false">SUM(X7:X21)</f>
        <v>23.6</v>
      </c>
      <c r="Y22" s="79" t="n">
        <f aca="false">SUM(Y7:Y21)</f>
        <v>1437.22766666667</v>
      </c>
      <c r="Z22" s="79" t="n">
        <f aca="false">SUM(Z7:Z21)</f>
        <v>4499.67794378094</v>
      </c>
      <c r="AA22" s="79" t="n">
        <f aca="false">SUM(AA7:AA21)</f>
        <v>5399.61353253712</v>
      </c>
      <c r="AB22" s="79" t="n">
        <f aca="false">SUM(AB7:AB21)</f>
        <v>6556.67357522365</v>
      </c>
      <c r="AC22" s="79" t="n">
        <f aca="false">SUM(AC7:AC21)</f>
        <v>11056.3515190046</v>
      </c>
      <c r="AD22" s="79" t="n">
        <f aca="false">SUM(AD7:AD21)</f>
        <v>8132.20347886866</v>
      </c>
      <c r="AE22" s="79" t="n">
        <f aca="false">SUM(AE7:AE21)</f>
        <v>9348.53906762484</v>
      </c>
      <c r="AF22" s="79" t="n">
        <f aca="false">SUM(AF7:AF21)</f>
        <v>10912.3991103114</v>
      </c>
      <c r="AG22" s="79" t="n">
        <f aca="false">SUM(AG7:AG21)</f>
        <v>19278.6810540923</v>
      </c>
      <c r="AH22" s="57"/>
      <c r="AI22" s="76" t="s">
        <v>102</v>
      </c>
      <c r="AJ22" s="76"/>
      <c r="AK22" s="80" t="n">
        <f aca="false">SUM(AK7:AK21)</f>
        <v>10075.4570213542</v>
      </c>
      <c r="AL22" s="80" t="n">
        <f aca="false">SUM(AL7:AL21)</f>
        <v>11580.4225292387</v>
      </c>
      <c r="AM22" s="80" t="n">
        <f aca="false">SUM(AM7:AM21)</f>
        <v>13517.0405592527</v>
      </c>
      <c r="AN22" s="80" t="n">
        <f aca="false">SUM(AN7:AN21)</f>
        <v>23854.0629804266</v>
      </c>
      <c r="AO22" s="80" t="n">
        <f aca="false">SUM(AO7:AO21)</f>
        <v>18176.2765393447</v>
      </c>
      <c r="AP22" s="80" t="n">
        <f aca="false">SUM(AP7:AP21)</f>
        <v>54528.8296180342</v>
      </c>
      <c r="AQ22" s="80" t="n">
        <f aca="false">SUM(AQ7:AQ21)</f>
        <v>72705.1061573789</v>
      </c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57"/>
      <c r="CQ22" s="57"/>
      <c r="CR22" s="57"/>
      <c r="CS22" s="57"/>
      <c r="CT22" s="57"/>
      <c r="CU22" s="57"/>
      <c r="CV22" s="57"/>
      <c r="CW22" s="57"/>
      <c r="CX22" s="57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7"/>
      <c r="DK22" s="57"/>
      <c r="DL22" s="57"/>
      <c r="DM22" s="57"/>
      <c r="DN22" s="57"/>
      <c r="DO22" s="57"/>
      <c r="DP22" s="57"/>
      <c r="DQ22" s="57"/>
      <c r="DR22" s="57"/>
      <c r="DS22" s="57"/>
      <c r="DT22" s="57"/>
      <c r="DU22" s="57"/>
      <c r="DV22" s="57"/>
      <c r="DW22" s="57"/>
      <c r="DX22" s="57"/>
      <c r="DY22" s="57"/>
      <c r="DZ22" s="57"/>
      <c r="EA22" s="57"/>
      <c r="EB22" s="57"/>
      <c r="EC22" s="57"/>
      <c r="ED22" s="57"/>
      <c r="EE22" s="57"/>
      <c r="EF22" s="57"/>
      <c r="EG22" s="57"/>
      <c r="EH22" s="57"/>
      <c r="EI22" s="57"/>
      <c r="EJ22" s="57"/>
      <c r="EK22" s="57"/>
      <c r="EL22" s="57"/>
      <c r="EM22" s="57"/>
      <c r="EN22" s="57"/>
      <c r="EO22" s="57"/>
      <c r="EP22" s="57"/>
      <c r="EQ22" s="57"/>
      <c r="ER22" s="57"/>
      <c r="ES22" s="57"/>
      <c r="ET22" s="57"/>
      <c r="EU22" s="57"/>
      <c r="EV22" s="57"/>
      <c r="EW22" s="57"/>
      <c r="EX22" s="57"/>
      <c r="EY22" s="57"/>
      <c r="EZ22" s="57"/>
      <c r="FA22" s="57"/>
      <c r="FB22" s="57"/>
      <c r="FC22" s="57"/>
      <c r="FD22" s="57"/>
      <c r="FE22" s="57"/>
      <c r="FF22" s="57"/>
      <c r="FG22" s="57"/>
      <c r="FH22" s="57"/>
      <c r="FI22" s="57"/>
      <c r="FJ22" s="57"/>
      <c r="FK22" s="57"/>
      <c r="FL22" s="57"/>
      <c r="FM22" s="57"/>
      <c r="FN22" s="57"/>
      <c r="FO22" s="57"/>
      <c r="FP22" s="57"/>
      <c r="FQ22" s="57"/>
      <c r="FR22" s="57"/>
      <c r="FS22" s="57"/>
      <c r="FT22" s="57"/>
      <c r="FU22" s="57"/>
      <c r="FV22" s="57"/>
      <c r="FW22" s="57"/>
      <c r="FX22" s="57"/>
      <c r="FY22" s="57"/>
      <c r="FZ22" s="57"/>
      <c r="GA22" s="57"/>
      <c r="GB22" s="57"/>
      <c r="GC22" s="57"/>
      <c r="GD22" s="57"/>
      <c r="GE22" s="57"/>
      <c r="GF22" s="57"/>
      <c r="GG22" s="57"/>
      <c r="GH22" s="57"/>
      <c r="GI22" s="57"/>
      <c r="GJ22" s="57"/>
      <c r="GK22" s="57"/>
      <c r="GL22" s="57"/>
      <c r="GM22" s="57"/>
      <c r="GN22" s="57"/>
      <c r="GO22" s="57"/>
      <c r="GP22" s="57"/>
      <c r="GQ22" s="57"/>
      <c r="GR22" s="57"/>
      <c r="GS22" s="57"/>
      <c r="GT22" s="57"/>
      <c r="GU22" s="57"/>
      <c r="GV22" s="57"/>
      <c r="GW22" s="57"/>
      <c r="GX22" s="57"/>
      <c r="GY22" s="57"/>
      <c r="GZ22" s="57"/>
      <c r="HA22" s="57"/>
      <c r="HB22" s="57"/>
      <c r="HC22" s="57"/>
      <c r="HD22" s="57"/>
      <c r="HE22" s="57"/>
      <c r="HF22" s="57"/>
      <c r="HG22" s="57"/>
      <c r="HH22" s="57"/>
      <c r="HI22" s="57"/>
      <c r="HJ22" s="57"/>
      <c r="HK22" s="57"/>
      <c r="HL22" s="57"/>
      <c r="HM22" s="57"/>
      <c r="HN22" s="57"/>
      <c r="HO22" s="57"/>
      <c r="HP22" s="57"/>
      <c r="HQ22" s="57"/>
      <c r="HR22" s="57"/>
      <c r="HS22" s="57"/>
      <c r="HT22" s="57"/>
      <c r="HU22" s="57"/>
      <c r="HV22" s="57"/>
      <c r="HW22" s="57"/>
      <c r="HX22" s="57"/>
      <c r="HY22" s="57"/>
      <c r="HZ22" s="57"/>
      <c r="IA22" s="57"/>
      <c r="IB22" s="57"/>
      <c r="IC22" s="57"/>
      <c r="ID22" s="57"/>
      <c r="IE22" s="57"/>
      <c r="IF22" s="57"/>
      <c r="IG22" s="57"/>
      <c r="IH22" s="57"/>
      <c r="II22" s="57"/>
      <c r="IJ22" s="57"/>
      <c r="IK22" s="57"/>
      <c r="IL22" s="57"/>
      <c r="IM22" s="57"/>
      <c r="IN22" s="57"/>
      <c r="IO22" s="57"/>
      <c r="IP22" s="57"/>
      <c r="IQ22" s="57"/>
      <c r="IR22" s="57"/>
      <c r="IS22" s="57"/>
      <c r="IT22" s="57"/>
      <c r="IU22" s="57"/>
      <c r="IV22" s="57"/>
      <c r="IW22" s="57"/>
      <c r="IX22" s="57"/>
      <c r="IY22" s="57"/>
      <c r="IZ22" s="57"/>
      <c r="JA22" s="57"/>
      <c r="JB22" s="57"/>
      <c r="JC22" s="57"/>
      <c r="JD22" s="57"/>
      <c r="JE22" s="57"/>
      <c r="JF22" s="57"/>
      <c r="JG22" s="57"/>
      <c r="JH22" s="57"/>
      <c r="JI22" s="57"/>
      <c r="JJ22" s="57"/>
      <c r="JK22" s="57"/>
      <c r="JL22" s="57"/>
      <c r="JM22" s="57"/>
      <c r="JN22" s="57"/>
      <c r="JO22" s="57"/>
      <c r="JP22" s="57"/>
      <c r="JQ22" s="57"/>
      <c r="JR22" s="57"/>
      <c r="JS22" s="57"/>
      <c r="JT22" s="57"/>
      <c r="JU22" s="57"/>
      <c r="JV22" s="57"/>
      <c r="JW22" s="57"/>
      <c r="JX22" s="57"/>
      <c r="JY22" s="57"/>
      <c r="JZ22" s="57"/>
      <c r="KA22" s="57"/>
      <c r="KB22" s="57"/>
      <c r="KC22" s="57"/>
      <c r="KD22" s="57"/>
      <c r="KE22" s="57"/>
      <c r="KF22" s="57"/>
      <c r="KG22" s="57"/>
      <c r="KH22" s="57"/>
      <c r="KI22" s="57"/>
      <c r="KJ22" s="57"/>
      <c r="KK22" s="57"/>
      <c r="KL22" s="57"/>
      <c r="KM22" s="57"/>
      <c r="KN22" s="57"/>
      <c r="KO22" s="57"/>
      <c r="KP22" s="57"/>
      <c r="KQ22" s="57"/>
      <c r="KR22" s="57"/>
      <c r="KS22" s="57"/>
      <c r="KT22" s="57"/>
      <c r="KU22" s="57"/>
      <c r="KV22" s="57"/>
      <c r="KW22" s="57"/>
      <c r="KX22" s="57"/>
      <c r="KY22" s="57"/>
      <c r="KZ22" s="57"/>
      <c r="LA22" s="57"/>
      <c r="LB22" s="57"/>
      <c r="LC22" s="57"/>
      <c r="LD22" s="57"/>
      <c r="LE22" s="57"/>
      <c r="LF22" s="57"/>
      <c r="LG22" s="57"/>
      <c r="LH22" s="57"/>
      <c r="LI22" s="57"/>
      <c r="LJ22" s="57"/>
      <c r="LK22" s="57"/>
      <c r="LL22" s="57"/>
      <c r="LM22" s="57"/>
      <c r="LN22" s="57"/>
      <c r="LO22" s="57"/>
      <c r="LP22" s="57"/>
      <c r="LQ22" s="57"/>
      <c r="LR22" s="57"/>
      <c r="LS22" s="57"/>
      <c r="LT22" s="57"/>
      <c r="LU22" s="57"/>
      <c r="LV22" s="57"/>
      <c r="LW22" s="57"/>
      <c r="LX22" s="57"/>
      <c r="LY22" s="57"/>
      <c r="LZ22" s="57"/>
      <c r="MA22" s="57"/>
      <c r="MB22" s="57"/>
      <c r="MC22" s="57"/>
      <c r="MD22" s="57"/>
      <c r="ME22" s="57"/>
      <c r="MF22" s="57"/>
      <c r="MG22" s="57"/>
      <c r="MH22" s="57"/>
      <c r="MI22" s="57"/>
      <c r="MJ22" s="57"/>
      <c r="MK22" s="57"/>
      <c r="ML22" s="57"/>
      <c r="MM22" s="57"/>
      <c r="MN22" s="57"/>
      <c r="MO22" s="57"/>
      <c r="MP22" s="57"/>
      <c r="MQ22" s="57"/>
      <c r="MR22" s="57"/>
      <c r="MS22" s="57"/>
      <c r="MT22" s="57"/>
      <c r="MU22" s="57"/>
      <c r="MV22" s="57"/>
      <c r="MW22" s="57"/>
      <c r="MX22" s="57"/>
      <c r="MY22" s="57"/>
      <c r="MZ22" s="57"/>
      <c r="NA22" s="57"/>
      <c r="NB22" s="57"/>
      <c r="NC22" s="57"/>
      <c r="ND22" s="57"/>
      <c r="NE22" s="57"/>
      <c r="NF22" s="57"/>
      <c r="NG22" s="57"/>
      <c r="NH22" s="57"/>
      <c r="NI22" s="57"/>
      <c r="NJ22" s="57"/>
      <c r="NK22" s="57"/>
      <c r="NL22" s="57"/>
      <c r="NM22" s="57"/>
      <c r="NN22" s="57"/>
      <c r="NO22" s="57"/>
      <c r="NP22" s="57"/>
      <c r="NQ22" s="57"/>
      <c r="NR22" s="57"/>
      <c r="NS22" s="57"/>
      <c r="NT22" s="57"/>
      <c r="NU22" s="57"/>
      <c r="NV22" s="57"/>
      <c r="NW22" s="57"/>
      <c r="NX22" s="57"/>
      <c r="NY22" s="57"/>
      <c r="NZ22" s="57"/>
      <c r="OA22" s="57"/>
      <c r="OB22" s="57"/>
      <c r="OC22" s="57"/>
      <c r="OD22" s="57"/>
      <c r="OE22" s="57"/>
      <c r="OF22" s="57"/>
      <c r="OG22" s="57"/>
      <c r="OH22" s="57"/>
      <c r="OI22" s="57"/>
      <c r="OJ22" s="57"/>
      <c r="OK22" s="57"/>
      <c r="OL22" s="57"/>
      <c r="OM22" s="57"/>
      <c r="ON22" s="57"/>
      <c r="OO22" s="57"/>
      <c r="OP22" s="57"/>
      <c r="OQ22" s="57"/>
      <c r="OR22" s="57"/>
      <c r="OS22" s="57"/>
      <c r="OT22" s="57"/>
      <c r="OU22" s="57"/>
      <c r="OV22" s="57"/>
      <c r="OW22" s="57"/>
      <c r="OX22" s="57"/>
      <c r="OY22" s="57"/>
      <c r="OZ22" s="57"/>
      <c r="PA22" s="57"/>
      <c r="PB22" s="57"/>
      <c r="PC22" s="57"/>
      <c r="PD22" s="57"/>
      <c r="PE22" s="57"/>
      <c r="PF22" s="57"/>
      <c r="PG22" s="57"/>
      <c r="PH22" s="57"/>
      <c r="PI22" s="57"/>
      <c r="PJ22" s="57"/>
      <c r="PK22" s="57"/>
      <c r="PL22" s="57"/>
      <c r="PM22" s="57"/>
      <c r="PN22" s="57"/>
      <c r="PO22" s="57"/>
      <c r="PP22" s="57"/>
      <c r="PQ22" s="57"/>
      <c r="PR22" s="57"/>
      <c r="PS22" s="57"/>
      <c r="PT22" s="57"/>
      <c r="PU22" s="57"/>
      <c r="PV22" s="57"/>
      <c r="PW22" s="57"/>
      <c r="PX22" s="57"/>
      <c r="PY22" s="57"/>
      <c r="PZ22" s="57"/>
      <c r="QA22" s="57"/>
      <c r="QB22" s="57"/>
      <c r="QC22" s="57"/>
      <c r="QD22" s="57"/>
      <c r="QE22" s="57"/>
      <c r="QF22" s="57"/>
      <c r="QG22" s="57"/>
      <c r="QH22" s="57"/>
      <c r="QI22" s="57"/>
      <c r="QJ22" s="57"/>
      <c r="QK22" s="57"/>
      <c r="QL22" s="57"/>
      <c r="QM22" s="57"/>
      <c r="QN22" s="57"/>
      <c r="QO22" s="57"/>
      <c r="QP22" s="57"/>
      <c r="QQ22" s="57"/>
      <c r="QR22" s="57"/>
      <c r="QS22" s="57"/>
      <c r="QT22" s="57"/>
      <c r="QU22" s="57"/>
      <c r="QV22" s="57"/>
      <c r="QW22" s="57"/>
      <c r="QX22" s="57"/>
      <c r="QY22" s="57"/>
      <c r="QZ22" s="57"/>
      <c r="RA22" s="57"/>
      <c r="RB22" s="57"/>
      <c r="RC22" s="57"/>
      <c r="RD22" s="57"/>
      <c r="RE22" s="57"/>
      <c r="RF22" s="57"/>
      <c r="RG22" s="57"/>
      <c r="RH22" s="57"/>
      <c r="RI22" s="57"/>
      <c r="RJ22" s="57"/>
      <c r="RK22" s="57"/>
      <c r="RL22" s="57"/>
      <c r="RM22" s="57"/>
      <c r="RN22" s="57"/>
      <c r="RO22" s="57"/>
      <c r="RP22" s="57"/>
      <c r="RQ22" s="57"/>
      <c r="RR22" s="57"/>
      <c r="RS22" s="57"/>
      <c r="RT22" s="57"/>
      <c r="RU22" s="57"/>
      <c r="RV22" s="57"/>
      <c r="RW22" s="57"/>
      <c r="RX22" s="57"/>
      <c r="RY22" s="57"/>
      <c r="RZ22" s="57"/>
      <c r="SA22" s="57"/>
      <c r="SB22" s="57"/>
      <c r="SC22" s="57"/>
      <c r="SD22" s="57"/>
      <c r="SE22" s="57"/>
      <c r="SF22" s="57"/>
      <c r="SG22" s="57"/>
      <c r="SH22" s="57"/>
      <c r="SI22" s="57"/>
      <c r="SJ22" s="57"/>
      <c r="SK22" s="57"/>
      <c r="SL22" s="57"/>
      <c r="SM22" s="57"/>
      <c r="SN22" s="57"/>
      <c r="SO22" s="57"/>
      <c r="SP22" s="57"/>
      <c r="SQ22" s="57"/>
      <c r="SR22" s="57"/>
      <c r="SS22" s="57"/>
      <c r="ST22" s="57"/>
      <c r="SU22" s="57"/>
      <c r="SV22" s="57"/>
      <c r="SW22" s="57"/>
      <c r="SX22" s="57"/>
      <c r="SY22" s="57"/>
      <c r="SZ22" s="57"/>
      <c r="TA22" s="57"/>
      <c r="TB22" s="57"/>
      <c r="TC22" s="57"/>
      <c r="TD22" s="57"/>
      <c r="TE22" s="57"/>
      <c r="TF22" s="57"/>
      <c r="TG22" s="57"/>
      <c r="TH22" s="57"/>
      <c r="TI22" s="57"/>
      <c r="TJ22" s="57"/>
      <c r="TK22" s="57"/>
      <c r="TL22" s="57"/>
      <c r="TM22" s="57"/>
      <c r="TN22" s="57"/>
      <c r="TO22" s="57"/>
      <c r="TP22" s="57"/>
      <c r="TQ22" s="57"/>
      <c r="TR22" s="57"/>
      <c r="TS22" s="57"/>
      <c r="TT22" s="57"/>
      <c r="TU22" s="57"/>
      <c r="TV22" s="57"/>
      <c r="TW22" s="57"/>
      <c r="TX22" s="57"/>
      <c r="TY22" s="57"/>
      <c r="TZ22" s="57"/>
      <c r="UA22" s="57"/>
      <c r="UB22" s="57"/>
      <c r="UC22" s="57"/>
      <c r="UD22" s="57"/>
      <c r="UE22" s="57"/>
      <c r="UF22" s="57"/>
      <c r="UG22" s="57"/>
      <c r="UH22" s="57"/>
      <c r="UI22" s="57"/>
      <c r="UJ22" s="57"/>
      <c r="UK22" s="57"/>
      <c r="UL22" s="57"/>
      <c r="UM22" s="57"/>
      <c r="UN22" s="57"/>
      <c r="UO22" s="57"/>
      <c r="UP22" s="57"/>
      <c r="UQ22" s="57"/>
      <c r="UR22" s="57"/>
      <c r="US22" s="57"/>
      <c r="UT22" s="57"/>
      <c r="UU22" s="57"/>
      <c r="UV22" s="57"/>
      <c r="UW22" s="57"/>
      <c r="UX22" s="57"/>
      <c r="UY22" s="57"/>
      <c r="UZ22" s="57"/>
      <c r="VA22" s="57"/>
      <c r="VB22" s="57"/>
      <c r="VC22" s="57"/>
      <c r="VD22" s="57"/>
      <c r="VE22" s="57"/>
      <c r="VF22" s="57"/>
      <c r="VG22" s="57"/>
      <c r="VH22" s="57"/>
      <c r="VI22" s="57"/>
      <c r="VJ22" s="57"/>
      <c r="VK22" s="57"/>
      <c r="VL22" s="57"/>
      <c r="VM22" s="57"/>
      <c r="VN22" s="57"/>
      <c r="VO22" s="57"/>
      <c r="VP22" s="57"/>
      <c r="VQ22" s="57"/>
      <c r="VR22" s="57"/>
      <c r="VS22" s="57"/>
      <c r="VT22" s="57"/>
      <c r="VU22" s="57"/>
      <c r="VV22" s="57"/>
      <c r="VW22" s="57"/>
      <c r="VX22" s="57"/>
      <c r="VY22" s="57"/>
      <c r="VZ22" s="57"/>
      <c r="WA22" s="57"/>
      <c r="WB22" s="57"/>
      <c r="WC22" s="57"/>
      <c r="WD22" s="57"/>
      <c r="WE22" s="57"/>
      <c r="WF22" s="57"/>
      <c r="WG22" s="57"/>
      <c r="WH22" s="57"/>
      <c r="WI22" s="57"/>
      <c r="WJ22" s="57"/>
      <c r="WK22" s="57"/>
      <c r="WL22" s="57"/>
      <c r="WM22" s="57"/>
      <c r="WN22" s="57"/>
      <c r="WO22" s="57"/>
      <c r="WP22" s="57"/>
      <c r="WQ22" s="57"/>
      <c r="WR22" s="57"/>
      <c r="WS22" s="57"/>
      <c r="WT22" s="57"/>
      <c r="WU22" s="57"/>
      <c r="WV22" s="57"/>
      <c r="WW22" s="57"/>
      <c r="WX22" s="57"/>
      <c r="WY22" s="57"/>
      <c r="WZ22" s="57"/>
      <c r="XA22" s="57"/>
      <c r="XB22" s="57"/>
      <c r="XC22" s="57"/>
      <c r="XD22" s="57"/>
      <c r="XE22" s="57"/>
      <c r="XF22" s="57"/>
      <c r="XG22" s="57"/>
      <c r="XH22" s="57"/>
      <c r="XI22" s="57"/>
      <c r="XJ22" s="57"/>
      <c r="XK22" s="57"/>
      <c r="XL22" s="57"/>
      <c r="XM22" s="57"/>
      <c r="XN22" s="57"/>
      <c r="XO22" s="57"/>
      <c r="XP22" s="57"/>
      <c r="XQ22" s="57"/>
      <c r="XR22" s="57"/>
      <c r="XS22" s="57"/>
      <c r="XT22" s="57"/>
      <c r="XU22" s="57"/>
      <c r="XV22" s="57"/>
      <c r="XW22" s="57"/>
      <c r="XX22" s="57"/>
      <c r="XY22" s="57"/>
      <c r="XZ22" s="57"/>
      <c r="YA22" s="57"/>
      <c r="YB22" s="57"/>
      <c r="YC22" s="57"/>
      <c r="YD22" s="57"/>
      <c r="YE22" s="57"/>
      <c r="YF22" s="57"/>
      <c r="YG22" s="57"/>
      <c r="YH22" s="57"/>
      <c r="YI22" s="57"/>
      <c r="YJ22" s="57"/>
      <c r="YK22" s="57"/>
      <c r="YL22" s="57"/>
      <c r="YM22" s="57"/>
      <c r="YN22" s="57"/>
      <c r="YO22" s="57"/>
      <c r="YP22" s="57"/>
      <c r="YQ22" s="57"/>
      <c r="YR22" s="57"/>
      <c r="YS22" s="57"/>
      <c r="YT22" s="57"/>
      <c r="YU22" s="57"/>
      <c r="YV22" s="57"/>
      <c r="YW22" s="57"/>
      <c r="YX22" s="57"/>
      <c r="YY22" s="57"/>
      <c r="YZ22" s="57"/>
      <c r="ZA22" s="57"/>
      <c r="ZB22" s="57"/>
      <c r="ZC22" s="57"/>
      <c r="ZD22" s="57"/>
      <c r="ZE22" s="57"/>
      <c r="ZF22" s="57"/>
      <c r="ZG22" s="57"/>
      <c r="ZH22" s="57"/>
      <c r="ZI22" s="57"/>
      <c r="ZJ22" s="57"/>
      <c r="ZK22" s="57"/>
      <c r="ZL22" s="57"/>
      <c r="ZM22" s="57"/>
      <c r="ZN22" s="57"/>
      <c r="ZO22" s="57"/>
      <c r="ZP22" s="57"/>
      <c r="ZQ22" s="57"/>
      <c r="ZR22" s="57"/>
      <c r="ZS22" s="57"/>
      <c r="ZT22" s="57"/>
      <c r="ZU22" s="57"/>
      <c r="ZV22" s="57"/>
      <c r="ZW22" s="57"/>
      <c r="ZX22" s="57"/>
      <c r="ZY22" s="57"/>
      <c r="ZZ22" s="57"/>
      <c r="AAA22" s="57"/>
      <c r="AAB22" s="57"/>
      <c r="AAC22" s="57"/>
      <c r="AAD22" s="57"/>
      <c r="AAE22" s="57"/>
      <c r="AAF22" s="57"/>
      <c r="AAG22" s="57"/>
      <c r="AAH22" s="57"/>
      <c r="AAI22" s="57"/>
      <c r="AAJ22" s="57"/>
      <c r="AAK22" s="57"/>
      <c r="AAL22" s="57"/>
      <c r="AAM22" s="57"/>
      <c r="AAN22" s="57"/>
      <c r="AAO22" s="57"/>
      <c r="AAP22" s="57"/>
      <c r="AAQ22" s="57"/>
      <c r="AAR22" s="57"/>
      <c r="AAS22" s="57"/>
      <c r="AAT22" s="57"/>
      <c r="AAU22" s="57"/>
      <c r="AAV22" s="57"/>
      <c r="AAW22" s="57"/>
      <c r="AAX22" s="57"/>
      <c r="AAY22" s="57"/>
      <c r="AAZ22" s="57"/>
      <c r="ABA22" s="57"/>
      <c r="ABB22" s="57"/>
      <c r="ABC22" s="57"/>
      <c r="ABD22" s="57"/>
      <c r="ABE22" s="57"/>
      <c r="ABF22" s="57"/>
      <c r="ABG22" s="57"/>
      <c r="ABH22" s="57"/>
      <c r="ABI22" s="57"/>
      <c r="ABJ22" s="57"/>
      <c r="ABK22" s="57"/>
      <c r="ABL22" s="57"/>
      <c r="ABM22" s="57"/>
      <c r="ABN22" s="57"/>
      <c r="ABO22" s="57"/>
      <c r="ABP22" s="57"/>
      <c r="ABQ22" s="57"/>
      <c r="ABR22" s="57"/>
      <c r="ABS22" s="57"/>
      <c r="ABT22" s="57"/>
      <c r="ABU22" s="57"/>
      <c r="ABV22" s="57"/>
      <c r="ABW22" s="57"/>
      <c r="ABX22" s="57"/>
      <c r="ABY22" s="57"/>
      <c r="ABZ22" s="57"/>
      <c r="ACA22" s="57"/>
      <c r="ACB22" s="57"/>
      <c r="ACC22" s="57"/>
      <c r="ACD22" s="57"/>
      <c r="ACE22" s="57"/>
      <c r="ACF22" s="57"/>
      <c r="ACG22" s="57"/>
      <c r="ACH22" s="57"/>
      <c r="ACI22" s="57"/>
      <c r="ACJ22" s="57"/>
      <c r="ACK22" s="57"/>
      <c r="ACL22" s="57"/>
      <c r="ACM22" s="57"/>
      <c r="ACN22" s="57"/>
      <c r="ACO22" s="57"/>
      <c r="ACP22" s="57"/>
      <c r="ACQ22" s="57"/>
      <c r="ACR22" s="57"/>
      <c r="ACS22" s="57"/>
      <c r="ACT22" s="57"/>
      <c r="ACU22" s="57"/>
      <c r="ACV22" s="57"/>
      <c r="ACW22" s="57"/>
      <c r="ACX22" s="57"/>
      <c r="ACY22" s="57"/>
      <c r="ACZ22" s="57"/>
      <c r="ADA22" s="57"/>
      <c r="ADB22" s="57"/>
      <c r="ADC22" s="57"/>
      <c r="ADD22" s="57"/>
      <c r="ADE22" s="57"/>
      <c r="ADF22" s="57"/>
      <c r="ADG22" s="57"/>
      <c r="ADH22" s="57"/>
      <c r="ADI22" s="57"/>
      <c r="ADJ22" s="57"/>
      <c r="ADK22" s="57"/>
      <c r="ADL22" s="57"/>
      <c r="ADM22" s="57"/>
      <c r="ADN22" s="57"/>
      <c r="ADO22" s="57"/>
      <c r="ADP22" s="57"/>
      <c r="ADQ22" s="57"/>
      <c r="ADR22" s="57"/>
      <c r="ADS22" s="57"/>
      <c r="ADT22" s="57"/>
      <c r="ADU22" s="57"/>
      <c r="ADV22" s="57"/>
      <c r="ADW22" s="57"/>
      <c r="ADX22" s="57"/>
      <c r="ADY22" s="57"/>
      <c r="ADZ22" s="57"/>
      <c r="AEA22" s="57"/>
      <c r="AEB22" s="57"/>
      <c r="AEC22" s="57"/>
      <c r="AED22" s="57"/>
      <c r="AEE22" s="57"/>
      <c r="AEF22" s="57"/>
      <c r="AEG22" s="57"/>
      <c r="AEH22" s="57"/>
      <c r="AEI22" s="57"/>
      <c r="AEJ22" s="57"/>
      <c r="AEK22" s="57"/>
      <c r="AEL22" s="57"/>
      <c r="AEM22" s="57"/>
      <c r="AEN22" s="57"/>
      <c r="AEO22" s="57"/>
      <c r="AEP22" s="57"/>
      <c r="AEQ22" s="57"/>
      <c r="AER22" s="57"/>
      <c r="AES22" s="57"/>
      <c r="AET22" s="57"/>
      <c r="AEU22" s="57"/>
      <c r="AEV22" s="57"/>
      <c r="AEW22" s="57"/>
      <c r="AEX22" s="57"/>
      <c r="AEY22" s="57"/>
      <c r="AEZ22" s="57"/>
      <c r="AFA22" s="57"/>
      <c r="AFB22" s="57"/>
      <c r="AFC22" s="57"/>
      <c r="AFD22" s="57"/>
      <c r="AFE22" s="57"/>
      <c r="AFF22" s="57"/>
      <c r="AFG22" s="57"/>
      <c r="AFH22" s="57"/>
      <c r="AFI22" s="57"/>
      <c r="AFJ22" s="57"/>
      <c r="AFK22" s="57"/>
      <c r="AFL22" s="57"/>
      <c r="AFM22" s="57"/>
      <c r="AFN22" s="57"/>
      <c r="AFO22" s="57"/>
      <c r="AFP22" s="57"/>
      <c r="AFQ22" s="57"/>
      <c r="AFR22" s="57"/>
      <c r="AFS22" s="57"/>
      <c r="AFT22" s="57"/>
      <c r="AFU22" s="57"/>
      <c r="AFV22" s="57"/>
      <c r="AFW22" s="57"/>
      <c r="AFX22" s="57"/>
      <c r="AFY22" s="57"/>
      <c r="AFZ22" s="57"/>
      <c r="AGA22" s="57"/>
      <c r="AGB22" s="57"/>
      <c r="AGC22" s="57"/>
      <c r="AGD22" s="57"/>
      <c r="AGE22" s="57"/>
      <c r="AGF22" s="57"/>
      <c r="AGG22" s="57"/>
      <c r="AGH22" s="57"/>
      <c r="AGI22" s="57"/>
      <c r="AGJ22" s="57"/>
      <c r="AGK22" s="57"/>
      <c r="AGL22" s="57"/>
      <c r="AGM22" s="57"/>
      <c r="AGN22" s="57"/>
      <c r="AGO22" s="57"/>
      <c r="AGP22" s="57"/>
      <c r="AGQ22" s="57"/>
      <c r="AGR22" s="57"/>
      <c r="AGS22" s="57"/>
      <c r="AGT22" s="57"/>
      <c r="AGU22" s="57"/>
      <c r="AGV22" s="57"/>
      <c r="AGW22" s="57"/>
      <c r="AGX22" s="57"/>
      <c r="AGY22" s="57"/>
      <c r="AGZ22" s="57"/>
      <c r="AHA22" s="57"/>
      <c r="AHB22" s="57"/>
      <c r="AHC22" s="57"/>
      <c r="AHD22" s="57"/>
      <c r="AHE22" s="57"/>
      <c r="AHF22" s="57"/>
      <c r="AHG22" s="57"/>
      <c r="AHH22" s="57"/>
      <c r="AHI22" s="57"/>
      <c r="AHJ22" s="57"/>
      <c r="AHK22" s="57"/>
      <c r="AHL22" s="57"/>
      <c r="AHM22" s="57"/>
      <c r="AHN22" s="57"/>
      <c r="AHO22" s="57"/>
      <c r="AHP22" s="57"/>
      <c r="AHQ22" s="57"/>
      <c r="AHR22" s="57"/>
      <c r="AHS22" s="57"/>
      <c r="AHT22" s="57"/>
      <c r="AHU22" s="57"/>
      <c r="AHV22" s="57"/>
      <c r="AHW22" s="57"/>
      <c r="AHX22" s="57"/>
      <c r="AHY22" s="57"/>
      <c r="AHZ22" s="57"/>
      <c r="AIA22" s="57"/>
      <c r="AIB22" s="57"/>
      <c r="AIC22" s="57"/>
      <c r="AID22" s="57"/>
      <c r="AIE22" s="57"/>
      <c r="AIF22" s="57"/>
      <c r="AIG22" s="57"/>
      <c r="AIH22" s="57"/>
      <c r="AII22" s="57"/>
      <c r="AIJ22" s="57"/>
      <c r="AIK22" s="57"/>
      <c r="AIL22" s="57"/>
      <c r="AIM22" s="57"/>
      <c r="AIN22" s="57"/>
      <c r="AIO22" s="57"/>
      <c r="AIP22" s="57"/>
      <c r="AIQ22" s="57"/>
      <c r="AIR22" s="57"/>
      <c r="AIS22" s="57"/>
      <c r="AIT22" s="57"/>
      <c r="AIU22" s="57"/>
      <c r="AIV22" s="57"/>
      <c r="AIW22" s="57"/>
      <c r="AIX22" s="57"/>
      <c r="AIY22" s="57"/>
      <c r="AIZ22" s="57"/>
      <c r="AJA22" s="57"/>
      <c r="AJB22" s="57"/>
      <c r="AJC22" s="57"/>
      <c r="AJD22" s="57"/>
      <c r="AJE22" s="57"/>
      <c r="AJF22" s="57"/>
      <c r="AJG22" s="57"/>
      <c r="AJH22" s="57"/>
      <c r="AJI22" s="57"/>
      <c r="AJJ22" s="57"/>
      <c r="AJK22" s="57"/>
      <c r="AJL22" s="57"/>
      <c r="AJM22" s="57"/>
      <c r="AJN22" s="57"/>
      <c r="AJO22" s="57"/>
      <c r="AJP22" s="57"/>
      <c r="AJQ22" s="57"/>
      <c r="AJR22" s="57"/>
      <c r="AJS22" s="57"/>
      <c r="AJT22" s="57"/>
      <c r="AJU22" s="57"/>
      <c r="AJV22" s="57"/>
      <c r="AJW22" s="57"/>
      <c r="AJX22" s="57"/>
      <c r="AJY22" s="57"/>
      <c r="AJZ22" s="57"/>
      <c r="AKA22" s="57"/>
      <c r="AKB22" s="57"/>
      <c r="AKC22" s="57"/>
      <c r="AKD22" s="57"/>
      <c r="AKE22" s="57"/>
      <c r="AKF22" s="57"/>
      <c r="AKG22" s="57"/>
      <c r="AKH22" s="57"/>
      <c r="AKI22" s="57"/>
      <c r="AKJ22" s="57"/>
      <c r="AKK22" s="57"/>
      <c r="AKL22" s="57"/>
      <c r="AKM22" s="57"/>
      <c r="AKN22" s="57"/>
      <c r="AKO22" s="57"/>
      <c r="AKP22" s="57"/>
      <c r="AKQ22" s="57"/>
      <c r="AKR22" s="57"/>
      <c r="AKS22" s="57"/>
      <c r="AKT22" s="57"/>
      <c r="AKU22" s="57"/>
      <c r="AKV22" s="57"/>
      <c r="AKW22" s="57"/>
      <c r="AKX22" s="57"/>
      <c r="AKY22" s="57"/>
      <c r="AKZ22" s="57"/>
      <c r="ALA22" s="57"/>
      <c r="ALB22" s="57"/>
      <c r="ALC22" s="57"/>
      <c r="ALD22" s="57"/>
      <c r="ALE22" s="57"/>
      <c r="ALF22" s="57"/>
      <c r="ALG22" s="57"/>
      <c r="ALH22" s="57"/>
      <c r="ALI22" s="57"/>
      <c r="ALJ22" s="57"/>
      <c r="ALK22" s="57"/>
      <c r="ALL22" s="57"/>
      <c r="ALM22" s="57"/>
      <c r="ALN22" s="57"/>
      <c r="ALO22" s="57"/>
      <c r="ALP22" s="57"/>
      <c r="ALQ22" s="57"/>
      <c r="ALR22" s="57"/>
      <c r="ALS22" s="57"/>
      <c r="ALT22" s="57"/>
      <c r="ALU22" s="57"/>
      <c r="ALV22" s="57"/>
      <c r="ALW22" s="57"/>
      <c r="ALX22" s="57"/>
    </row>
    <row r="23" customFormat="false" ht="18" hidden="false" customHeight="true" outlineLevel="0" collapsed="false">
      <c r="H23" s="81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58"/>
      <c r="AE23" s="58"/>
      <c r="AF23" s="58"/>
      <c r="AG23" s="58"/>
    </row>
    <row r="24" customFormat="false" ht="39.75" hidden="false" customHeight="true" outlineLevel="0" collapsed="false">
      <c r="B24" s="49" t="s">
        <v>30</v>
      </c>
      <c r="C24" s="83" t="s">
        <v>103</v>
      </c>
      <c r="D24" s="83" t="s">
        <v>104</v>
      </c>
      <c r="E24" s="83" t="s">
        <v>105</v>
      </c>
      <c r="R24" s="84"/>
      <c r="Z24" s="84"/>
      <c r="AA24" s="84"/>
      <c r="AB24" s="84"/>
      <c r="AC24" s="84"/>
    </row>
    <row r="25" customFormat="false" ht="18" hidden="false" customHeight="true" outlineLevel="0" collapsed="false">
      <c r="B25" s="49"/>
      <c r="C25" s="24" t="n">
        <f aca="false">'Comp. Oficial de Manutenção'!D11</f>
        <v>32.38</v>
      </c>
      <c r="D25" s="24" t="n">
        <v>24.12</v>
      </c>
      <c r="E25" s="24" t="n">
        <v>41.09</v>
      </c>
    </row>
    <row r="26" customFormat="false" ht="28.5" hidden="false" customHeight="true" outlineLevel="0" collapsed="false">
      <c r="B26" s="53" t="s">
        <v>106</v>
      </c>
    </row>
    <row r="27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2:AJ22"/>
    <mergeCell ref="B24:B25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1048576"/>
  <sheetViews>
    <sheetView showFormulas="false" showGridLines="false" showRowColHeaders="true" showZeros="true" rightToLeft="false" tabSelected="false" showOutlineSymbols="true" defaultGridColor="true" view="normal" topLeftCell="D4" colorId="64" zoomScale="90" zoomScaleNormal="90" zoomScalePageLayoutView="100" workbookViewId="0">
      <selection pane="topLeft" activeCell="S17" activeCellId="0" sqref="S1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5" width="12.62"/>
    <col collapsed="false" customWidth="true" hidden="false" outlineLevel="0" max="3" min="3" style="85" width="32.62"/>
    <col collapsed="false" customWidth="true" hidden="false" outlineLevel="0" max="13" min="4" style="85" width="9.62"/>
    <col collapsed="false" customWidth="true" hidden="false" outlineLevel="0" max="15" min="14" style="86" width="9.62"/>
    <col collapsed="false" customWidth="true" hidden="false" outlineLevel="0" max="17" min="16" style="85" width="9.62"/>
    <col collapsed="false" customWidth="true" hidden="false" outlineLevel="0" max="260" min="18" style="85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"&amp;Resumo!B5</f>
        <v>DESLOCAMENTO BASE FLORIANÓPOLIS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customFormat="false" ht="37.5" hidden="false" customHeight="true" outlineLevel="0" collapsed="false">
      <c r="B4" s="21" t="s">
        <v>107</v>
      </c>
      <c r="C4" s="21" t="str">
        <f aca="false">"Rota (saída e retorno "&amp;Resumo!B5&amp;")"</f>
        <v>Rota (saída e retorno FLORIANÓPOLIS)</v>
      </c>
      <c r="D4" s="21" t="s">
        <v>108</v>
      </c>
      <c r="E4" s="21" t="s">
        <v>109</v>
      </c>
      <c r="F4" s="21" t="s">
        <v>110</v>
      </c>
      <c r="G4" s="21" t="s">
        <v>111</v>
      </c>
      <c r="H4" s="21" t="s">
        <v>112</v>
      </c>
      <c r="I4" s="21" t="s">
        <v>113</v>
      </c>
      <c r="J4" s="21" t="s">
        <v>114</v>
      </c>
      <c r="K4" s="21" t="s">
        <v>115</v>
      </c>
      <c r="L4" s="21" t="s">
        <v>116</v>
      </c>
      <c r="M4" s="88" t="s">
        <v>117</v>
      </c>
      <c r="N4" s="21" t="s">
        <v>118</v>
      </c>
      <c r="O4" s="88" t="s">
        <v>119</v>
      </c>
      <c r="P4" s="21" t="s">
        <v>120</v>
      </c>
      <c r="Q4" s="88" t="s">
        <v>67</v>
      </c>
      <c r="R4" s="32" t="s">
        <v>121</v>
      </c>
      <c r="S4" s="32" t="s">
        <v>122</v>
      </c>
    </row>
    <row r="5" customFormat="false" ht="15.75" hidden="false" customHeight="true" outlineLevel="0" collapsed="false">
      <c r="B5" s="52" t="n">
        <v>1</v>
      </c>
      <c r="C5" s="89" t="s">
        <v>99</v>
      </c>
      <c r="D5" s="90" t="n">
        <v>1.4</v>
      </c>
      <c r="E5" s="90" t="n">
        <v>1.4</v>
      </c>
      <c r="F5" s="90" t="n">
        <v>0</v>
      </c>
      <c r="G5" s="91" t="n">
        <f aca="false">SUM(D5:F5)</f>
        <v>2.8</v>
      </c>
      <c r="H5" s="92" t="n">
        <v>5</v>
      </c>
      <c r="I5" s="92" t="n">
        <v>4</v>
      </c>
      <c r="J5" s="92" t="n">
        <v>0</v>
      </c>
      <c r="K5" s="93" t="n">
        <f aca="false">SUM(H5:J5)</f>
        <v>9</v>
      </c>
      <c r="L5" s="94" t="n">
        <f aca="false">K5/60</f>
        <v>0.15</v>
      </c>
      <c r="M5" s="95" t="n">
        <v>0</v>
      </c>
      <c r="N5" s="96" t="n">
        <v>2</v>
      </c>
      <c r="O5" s="97" t="n">
        <f aca="false">L5/N5</f>
        <v>0.075</v>
      </c>
      <c r="P5" s="98" t="n">
        <f aca="false">M5/N5</f>
        <v>0</v>
      </c>
      <c r="Q5" s="99" t="n">
        <v>0</v>
      </c>
      <c r="R5" s="100" t="str">
        <f aca="false">INDEX('Base Florianópolis'!$K$7:$K$21,MATCH(C5,'Base Florianópolis'!$B$7:$B$21,0))</f>
        <v>SIM</v>
      </c>
      <c r="S5" s="101" t="n">
        <v>1</v>
      </c>
    </row>
    <row r="6" customFormat="false" ht="15.75" hidden="false" customHeight="true" outlineLevel="0" collapsed="false">
      <c r="B6" s="52"/>
      <c r="C6" s="89" t="s">
        <v>101</v>
      </c>
      <c r="D6" s="90"/>
      <c r="E6" s="90"/>
      <c r="F6" s="90"/>
      <c r="G6" s="91"/>
      <c r="H6" s="92"/>
      <c r="I6" s="92"/>
      <c r="J6" s="92"/>
      <c r="K6" s="93"/>
      <c r="L6" s="94"/>
      <c r="M6" s="95"/>
      <c r="N6" s="96"/>
      <c r="O6" s="102" t="n">
        <f aca="false">O5</f>
        <v>0.075</v>
      </c>
      <c r="P6" s="103" t="n">
        <f aca="false">P5</f>
        <v>0</v>
      </c>
      <c r="Q6" s="104" t="n">
        <v>0</v>
      </c>
      <c r="R6" s="100" t="str">
        <f aca="false">INDEX('Base Florianópolis'!$K$7:$K$21,MATCH(C6,'Base Florianópolis'!$B$7:$B$21,0))</f>
        <v>SIM</v>
      </c>
      <c r="S6" s="101" t="n">
        <v>1</v>
      </c>
    </row>
    <row r="7" customFormat="false" ht="15.75" hidden="false" customHeight="true" outlineLevel="0" collapsed="false">
      <c r="B7" s="52" t="n">
        <v>2</v>
      </c>
      <c r="C7" s="89" t="s">
        <v>98</v>
      </c>
      <c r="D7" s="90" t="n">
        <v>2.2</v>
      </c>
      <c r="E7" s="90" t="n">
        <v>2.2</v>
      </c>
      <c r="F7" s="90" t="n">
        <v>1.2</v>
      </c>
      <c r="G7" s="91" t="n">
        <f aca="false">SUM(D7:F7)</f>
        <v>5.6</v>
      </c>
      <c r="H7" s="92" t="n">
        <v>7</v>
      </c>
      <c r="I7" s="92" t="n">
        <v>6</v>
      </c>
      <c r="J7" s="92" t="n">
        <v>4</v>
      </c>
      <c r="K7" s="93" t="n">
        <f aca="false">SUM(H7:J7)</f>
        <v>17</v>
      </c>
      <c r="L7" s="94" t="n">
        <f aca="false">K7/60</f>
        <v>0.283333333333333</v>
      </c>
      <c r="M7" s="95" t="n">
        <v>0</v>
      </c>
      <c r="N7" s="105" t="n">
        <v>2</v>
      </c>
      <c r="O7" s="106" t="n">
        <f aca="false">L7/N7</f>
        <v>0.141666666666667</v>
      </c>
      <c r="P7" s="107" t="n">
        <f aca="false">M7/N7</f>
        <v>0</v>
      </c>
      <c r="Q7" s="99" t="n">
        <v>0</v>
      </c>
      <c r="R7" s="100" t="str">
        <f aca="false">INDEX('Base Florianópolis'!$K$7:$K$21,MATCH(C7,'Base Florianópolis'!$B$7:$B$21,0))</f>
        <v>SIM</v>
      </c>
      <c r="S7" s="101" t="n">
        <v>1</v>
      </c>
    </row>
    <row r="8" customFormat="false" ht="15.75" hidden="false" customHeight="true" outlineLevel="0" collapsed="false">
      <c r="B8" s="52"/>
      <c r="C8" s="89" t="s">
        <v>100</v>
      </c>
      <c r="D8" s="90"/>
      <c r="E8" s="90"/>
      <c r="F8" s="90"/>
      <c r="G8" s="91"/>
      <c r="H8" s="92"/>
      <c r="I8" s="92"/>
      <c r="J8" s="92"/>
      <c r="K8" s="93"/>
      <c r="L8" s="94"/>
      <c r="M8" s="95"/>
      <c r="N8" s="105"/>
      <c r="O8" s="102" t="n">
        <f aca="false">O7</f>
        <v>0.141666666666667</v>
      </c>
      <c r="P8" s="108" t="n">
        <f aca="false">P7</f>
        <v>0</v>
      </c>
      <c r="Q8" s="109" t="n">
        <v>0</v>
      </c>
      <c r="R8" s="100" t="str">
        <f aca="false">INDEX('Base Florianópolis'!$K$7:$K$21,MATCH(C8,'Base Florianópolis'!$B$7:$B$21,0))</f>
        <v>NÃO</v>
      </c>
      <c r="S8" s="101" t="n">
        <v>1</v>
      </c>
    </row>
    <row r="9" customFormat="false" ht="15.75" hidden="false" customHeight="true" outlineLevel="0" collapsed="false">
      <c r="B9" s="52" t="n">
        <v>3</v>
      </c>
      <c r="C9" s="89" t="s">
        <v>92</v>
      </c>
      <c r="D9" s="90" t="n">
        <v>17.4</v>
      </c>
      <c r="E9" s="90" t="n">
        <v>1</v>
      </c>
      <c r="F9" s="90" t="n">
        <v>19</v>
      </c>
      <c r="G9" s="91" t="n">
        <f aca="false">SUM(D9:F9)</f>
        <v>37.4</v>
      </c>
      <c r="H9" s="90" t="n">
        <v>18</v>
      </c>
      <c r="I9" s="90" t="n">
        <v>2</v>
      </c>
      <c r="J9" s="90" t="n">
        <v>18</v>
      </c>
      <c r="K9" s="91" t="n">
        <f aca="false">SUM(H9:J9)</f>
        <v>38</v>
      </c>
      <c r="L9" s="91" t="n">
        <f aca="false">K9/60</f>
        <v>0.633333333333333</v>
      </c>
      <c r="M9" s="95" t="n">
        <v>0</v>
      </c>
      <c r="N9" s="105" t="n">
        <v>2</v>
      </c>
      <c r="O9" s="97" t="n">
        <f aca="false">L9/N9</f>
        <v>0.316666666666667</v>
      </c>
      <c r="P9" s="99" t="n">
        <f aca="false">M9/N9</f>
        <v>0</v>
      </c>
      <c r="Q9" s="104" t="n">
        <v>0</v>
      </c>
      <c r="R9" s="100" t="str">
        <f aca="false">INDEX('Base Florianópolis'!$K$7:$K$21,MATCH(C9,'Base Florianópolis'!$B$7:$B$21,0))</f>
        <v>NÃO</v>
      </c>
      <c r="S9" s="101" t="n">
        <v>0</v>
      </c>
    </row>
    <row r="10" customFormat="false" ht="15.75" hidden="false" customHeight="true" outlineLevel="0" collapsed="false">
      <c r="B10" s="52"/>
      <c r="C10" s="89" t="s">
        <v>97</v>
      </c>
      <c r="D10" s="90"/>
      <c r="E10" s="90"/>
      <c r="F10" s="90"/>
      <c r="G10" s="91"/>
      <c r="H10" s="90"/>
      <c r="I10" s="90"/>
      <c r="J10" s="90"/>
      <c r="K10" s="91"/>
      <c r="L10" s="91"/>
      <c r="M10" s="95"/>
      <c r="N10" s="105"/>
      <c r="O10" s="102" t="n">
        <f aca="false">O9</f>
        <v>0.316666666666667</v>
      </c>
      <c r="P10" s="109" t="n">
        <f aca="false">P9</f>
        <v>0</v>
      </c>
      <c r="Q10" s="109" t="n">
        <v>0</v>
      </c>
      <c r="R10" s="100" t="str">
        <f aca="false">INDEX('Base Florianópolis'!$K$7:$K$21,MATCH(C10,'Base Florianópolis'!$B$7:$B$21,0))</f>
        <v>NÃO</v>
      </c>
      <c r="S10" s="101" t="n">
        <v>0</v>
      </c>
    </row>
    <row r="11" customFormat="false" ht="15.75" hidden="false" customHeight="true" outlineLevel="0" collapsed="false">
      <c r="B11" s="52" t="n">
        <v>4</v>
      </c>
      <c r="C11" s="89" t="s">
        <v>83</v>
      </c>
      <c r="D11" s="90" t="n">
        <v>0.7</v>
      </c>
      <c r="E11" s="90" t="n">
        <v>19.7</v>
      </c>
      <c r="F11" s="90" t="n">
        <v>20.2</v>
      </c>
      <c r="G11" s="91" t="n">
        <f aca="false">SUM(D11:F11)</f>
        <v>40.6</v>
      </c>
      <c r="H11" s="90" t="n">
        <v>2</v>
      </c>
      <c r="I11" s="90" t="n">
        <v>20</v>
      </c>
      <c r="J11" s="90" t="n">
        <v>20</v>
      </c>
      <c r="K11" s="91" t="n">
        <f aca="false">SUM(H11:J11)</f>
        <v>42</v>
      </c>
      <c r="L11" s="91" t="n">
        <f aca="false">K11/60</f>
        <v>0.7</v>
      </c>
      <c r="M11" s="95" t="n">
        <v>0</v>
      </c>
      <c r="N11" s="105" t="n">
        <v>2</v>
      </c>
      <c r="O11" s="97" t="n">
        <f aca="false">L11/N11</f>
        <v>0.35</v>
      </c>
      <c r="P11" s="99" t="n">
        <f aca="false">M11/N11</f>
        <v>0</v>
      </c>
      <c r="Q11" s="99" t="n">
        <v>0</v>
      </c>
      <c r="R11" s="100" t="str">
        <f aca="false">INDEX('Base Florianópolis'!$K$7:$K$21,MATCH(C11,'Base Florianópolis'!$B$7:$B$21,0))</f>
        <v>SIM</v>
      </c>
      <c r="S11" s="101" t="n">
        <v>1</v>
      </c>
    </row>
    <row r="12" customFormat="false" ht="15.75" hidden="false" customHeight="true" outlineLevel="0" collapsed="false">
      <c r="B12" s="52"/>
      <c r="C12" s="89" t="s">
        <v>85</v>
      </c>
      <c r="D12" s="90"/>
      <c r="E12" s="90"/>
      <c r="F12" s="90"/>
      <c r="G12" s="91"/>
      <c r="H12" s="90"/>
      <c r="I12" s="90"/>
      <c r="J12" s="90"/>
      <c r="K12" s="91"/>
      <c r="L12" s="91"/>
      <c r="M12" s="95" t="n">
        <v>0</v>
      </c>
      <c r="N12" s="105"/>
      <c r="O12" s="102" t="n">
        <f aca="false">O11</f>
        <v>0.35</v>
      </c>
      <c r="P12" s="109" t="n">
        <f aca="false">P11</f>
        <v>0</v>
      </c>
      <c r="Q12" s="109" t="n">
        <v>0</v>
      </c>
      <c r="R12" s="100" t="str">
        <f aca="false">INDEX('Base Florianópolis'!$K$7:$K$21,MATCH(C12,'Base Florianópolis'!$B$7:$B$21,0))</f>
        <v>NÃO</v>
      </c>
      <c r="S12" s="101" t="n">
        <v>1</v>
      </c>
    </row>
    <row r="13" customFormat="false" ht="28.5" hidden="false" customHeight="true" outlineLevel="0" collapsed="false">
      <c r="B13" s="52" t="n">
        <v>5</v>
      </c>
      <c r="C13" s="89" t="s">
        <v>87</v>
      </c>
      <c r="D13" s="90" t="n">
        <v>4.3</v>
      </c>
      <c r="E13" s="90" t="n">
        <v>3.5</v>
      </c>
      <c r="F13" s="90" t="n">
        <v>7.9</v>
      </c>
      <c r="G13" s="91" t="n">
        <f aca="false">SUM(D13:F13)</f>
        <v>15.7</v>
      </c>
      <c r="H13" s="90" t="n">
        <v>8</v>
      </c>
      <c r="I13" s="90" t="n">
        <v>7</v>
      </c>
      <c r="J13" s="90" t="n">
        <v>8</v>
      </c>
      <c r="K13" s="91" t="n">
        <f aca="false">SUM(H13:J13)</f>
        <v>23</v>
      </c>
      <c r="L13" s="91" t="n">
        <f aca="false">K13/60</f>
        <v>0.383333333333333</v>
      </c>
      <c r="M13" s="95" t="n">
        <v>0</v>
      </c>
      <c r="N13" s="105" t="n">
        <v>2</v>
      </c>
      <c r="O13" s="97" t="n">
        <f aca="false">L13/N13</f>
        <v>0.191666666666667</v>
      </c>
      <c r="P13" s="99" t="n">
        <f aca="false">M13/N13</f>
        <v>0</v>
      </c>
      <c r="Q13" s="99" t="n">
        <v>0</v>
      </c>
      <c r="R13" s="100" t="str">
        <f aca="false">INDEX('Base Florianópolis'!$K$7:$K$21,MATCH(C13,'Base Florianópolis'!$B$7:$B$21,0))</f>
        <v>SIM</v>
      </c>
      <c r="S13" s="101" t="n">
        <v>1</v>
      </c>
    </row>
    <row r="14" customFormat="false" ht="15.75" hidden="false" customHeight="true" outlineLevel="0" collapsed="false">
      <c r="B14" s="52"/>
      <c r="C14" s="89" t="s">
        <v>94</v>
      </c>
      <c r="D14" s="90"/>
      <c r="E14" s="90"/>
      <c r="F14" s="90"/>
      <c r="G14" s="91"/>
      <c r="H14" s="90"/>
      <c r="I14" s="90"/>
      <c r="J14" s="90"/>
      <c r="K14" s="91"/>
      <c r="L14" s="91"/>
      <c r="M14" s="95"/>
      <c r="N14" s="105"/>
      <c r="O14" s="102" t="n">
        <f aca="false">O13</f>
        <v>0.191666666666667</v>
      </c>
      <c r="P14" s="109" t="n">
        <f aca="false">P13</f>
        <v>0</v>
      </c>
      <c r="Q14" s="109" t="n">
        <v>0</v>
      </c>
      <c r="R14" s="100" t="str">
        <f aca="false">INDEX('Base Florianópolis'!$K$7:$K$21,MATCH(C14,'Base Florianópolis'!$B$7:$B$21,0))</f>
        <v>NÃO</v>
      </c>
      <c r="S14" s="101" t="n">
        <v>1</v>
      </c>
    </row>
    <row r="15" customFormat="false" ht="15.75" hidden="false" customHeight="true" outlineLevel="0" collapsed="false">
      <c r="B15" s="52" t="n">
        <v>6</v>
      </c>
      <c r="C15" s="89" t="s">
        <v>89</v>
      </c>
      <c r="D15" s="90" t="n">
        <v>68.1</v>
      </c>
      <c r="E15" s="90" t="n">
        <v>18.7</v>
      </c>
      <c r="F15" s="90" t="n">
        <v>52.3</v>
      </c>
      <c r="G15" s="91" t="n">
        <f aca="false">SUM(D15:F15)</f>
        <v>139.1</v>
      </c>
      <c r="H15" s="90" t="n">
        <v>53</v>
      </c>
      <c r="I15" s="90" t="n">
        <v>19</v>
      </c>
      <c r="J15" s="90" t="n">
        <v>42</v>
      </c>
      <c r="K15" s="91" t="n">
        <f aca="false">SUM(H15:J15)</f>
        <v>114</v>
      </c>
      <c r="L15" s="91" t="n">
        <f aca="false">K15/60</f>
        <v>1.9</v>
      </c>
      <c r="M15" s="100" t="n">
        <v>9.8</v>
      </c>
      <c r="N15" s="105" t="n">
        <v>2</v>
      </c>
      <c r="O15" s="97" t="n">
        <f aca="false">L15/N15</f>
        <v>0.95</v>
      </c>
      <c r="P15" s="99" t="n">
        <f aca="false">M15/N15</f>
        <v>4.9</v>
      </c>
      <c r="Q15" s="110" t="n">
        <v>0</v>
      </c>
      <c r="R15" s="100" t="str">
        <f aca="false">INDEX('Base Florianópolis'!$K$7:$K$21,MATCH(C15,'Base Florianópolis'!$B$7:$B$21,0))</f>
        <v>NÃO</v>
      </c>
      <c r="S15" s="101" t="n">
        <v>0</v>
      </c>
    </row>
    <row r="16" customFormat="false" ht="15.75" hidden="false" customHeight="true" outlineLevel="0" collapsed="false">
      <c r="B16" s="52"/>
      <c r="C16" s="89" t="s">
        <v>96</v>
      </c>
      <c r="D16" s="90"/>
      <c r="E16" s="90"/>
      <c r="F16" s="90"/>
      <c r="G16" s="91"/>
      <c r="H16" s="90"/>
      <c r="I16" s="90"/>
      <c r="J16" s="90"/>
      <c r="K16" s="91"/>
      <c r="L16" s="91"/>
      <c r="M16" s="100"/>
      <c r="N16" s="105"/>
      <c r="O16" s="102" t="n">
        <f aca="false">O15</f>
        <v>0.95</v>
      </c>
      <c r="P16" s="109" t="n">
        <f aca="false">P15</f>
        <v>4.9</v>
      </c>
      <c r="Q16" s="111" t="n">
        <v>0</v>
      </c>
      <c r="R16" s="100" t="str">
        <f aca="false">INDEX('Base Florianópolis'!$K$7:$K$21,MATCH(C16,'Base Florianópolis'!$B$7:$B$21,0))</f>
        <v>NÃO</v>
      </c>
      <c r="S16" s="101" t="n">
        <v>0</v>
      </c>
    </row>
    <row r="17" customFormat="false" ht="15.75" hidden="false" customHeight="true" outlineLevel="0" collapsed="false">
      <c r="B17" s="52" t="n">
        <v>7</v>
      </c>
      <c r="C17" s="89" t="s">
        <v>81</v>
      </c>
      <c r="D17" s="90" t="n">
        <v>109</v>
      </c>
      <c r="E17" s="90" t="n">
        <v>124</v>
      </c>
      <c r="F17" s="90" t="n">
        <v>232</v>
      </c>
      <c r="G17" s="91" t="n">
        <f aca="false">SUM(D17:F17)</f>
        <v>465</v>
      </c>
      <c r="H17" s="90" t="n">
        <v>104</v>
      </c>
      <c r="I17" s="90" t="n">
        <v>118</v>
      </c>
      <c r="J17" s="90" t="n">
        <v>218</v>
      </c>
      <c r="K17" s="91" t="n">
        <f aca="false">SUM(H17:J17)</f>
        <v>440</v>
      </c>
      <c r="L17" s="91" t="n">
        <f aca="false">K17/60</f>
        <v>7.33333333333333</v>
      </c>
      <c r="M17" s="95" t="n">
        <v>0</v>
      </c>
      <c r="N17" s="105" t="n">
        <v>2</v>
      </c>
      <c r="O17" s="97" t="n">
        <f aca="false">L17/N17</f>
        <v>3.66666666666667</v>
      </c>
      <c r="P17" s="99" t="n">
        <f aca="false">M17/N17</f>
        <v>0</v>
      </c>
      <c r="Q17" s="110" t="n">
        <f aca="false">E40/N17</f>
        <v>66.37</v>
      </c>
      <c r="R17" s="100" t="str">
        <f aca="false">INDEX('Base Florianópolis'!$K$7:$K$21,MATCH(C17,'Base Florianópolis'!$B$7:$B$21,0))</f>
        <v>NÃO</v>
      </c>
      <c r="S17" s="101" t="n">
        <v>1</v>
      </c>
    </row>
    <row r="18" customFormat="false" ht="15.75" hidden="false" customHeight="true" outlineLevel="0" collapsed="false">
      <c r="B18" s="52"/>
      <c r="C18" s="89" t="s">
        <v>90</v>
      </c>
      <c r="D18" s="90"/>
      <c r="E18" s="90"/>
      <c r="F18" s="90"/>
      <c r="G18" s="91"/>
      <c r="H18" s="90"/>
      <c r="I18" s="90"/>
      <c r="J18" s="90"/>
      <c r="K18" s="91"/>
      <c r="L18" s="91"/>
      <c r="M18" s="95"/>
      <c r="N18" s="105"/>
      <c r="O18" s="102" t="n">
        <f aca="false">O17</f>
        <v>3.66666666666667</v>
      </c>
      <c r="P18" s="109" t="n">
        <f aca="false">P17</f>
        <v>0</v>
      </c>
      <c r="Q18" s="111" t="n">
        <f aca="false">Q17</f>
        <v>66.37</v>
      </c>
      <c r="R18" s="100" t="str">
        <f aca="false">INDEX('Base Florianópolis'!$K$7:$K$21,MATCH(C18,'Base Florianópolis'!$B$7:$B$21,0))</f>
        <v>SIM</v>
      </c>
      <c r="S18" s="101" t="n">
        <v>1</v>
      </c>
    </row>
    <row r="19" customFormat="false" ht="15.75" hidden="false" customHeight="true" outlineLevel="0" collapsed="false">
      <c r="B19" s="112" t="n">
        <v>8</v>
      </c>
      <c r="C19" s="89" t="s">
        <v>86</v>
      </c>
      <c r="D19" s="113" t="n">
        <v>317</v>
      </c>
      <c r="E19" s="113" t="n">
        <v>318</v>
      </c>
      <c r="F19" s="113" t="n">
        <v>0</v>
      </c>
      <c r="G19" s="114" t="n">
        <f aca="false">SUM(D19:F19)</f>
        <v>635</v>
      </c>
      <c r="H19" s="90" t="n">
        <v>282</v>
      </c>
      <c r="I19" s="90" t="n">
        <v>278</v>
      </c>
      <c r="J19" s="90" t="n">
        <v>0</v>
      </c>
      <c r="K19" s="91" t="n">
        <f aca="false">SUM(H19:J19)</f>
        <v>560</v>
      </c>
      <c r="L19" s="114" t="n">
        <f aca="false">K19/60</f>
        <v>9.33333333333333</v>
      </c>
      <c r="M19" s="115" t="n">
        <v>13.8</v>
      </c>
      <c r="N19" s="116" t="n">
        <v>1</v>
      </c>
      <c r="O19" s="117" t="n">
        <f aca="false">L19/N19</f>
        <v>9.33333333333333</v>
      </c>
      <c r="P19" s="115" t="n">
        <f aca="false">M19/N19</f>
        <v>13.8</v>
      </c>
      <c r="Q19" s="118" t="n">
        <f aca="false">E40</f>
        <v>132.74</v>
      </c>
      <c r="R19" s="100" t="str">
        <f aca="false">INDEX('Base Florianópolis'!$K$7:$K$21,MATCH(C19,'Base Florianópolis'!$B$7:$B$21,0))</f>
        <v>SIM</v>
      </c>
      <c r="S19" s="101" t="n">
        <v>1</v>
      </c>
    </row>
    <row r="20" customFormat="false" ht="19.5" hidden="false" customHeight="true" outlineLevel="0" collapsed="false">
      <c r="B20" s="119" t="s">
        <v>102</v>
      </c>
      <c r="C20" s="119"/>
      <c r="D20" s="119"/>
      <c r="E20" s="119"/>
      <c r="F20" s="119"/>
      <c r="G20" s="120" t="n">
        <f aca="false">SUM(G5:G19)</f>
        <v>1341.2</v>
      </c>
      <c r="H20" s="120" t="s">
        <v>102</v>
      </c>
      <c r="I20" s="120"/>
      <c r="J20" s="120"/>
      <c r="K20" s="120" t="n">
        <f aca="false">SUM(K5:K19)</f>
        <v>1243</v>
      </c>
      <c r="L20" s="121" t="n">
        <f aca="false">SUM(L5:L19)</f>
        <v>20.7166666666667</v>
      </c>
      <c r="M20" s="122" t="n">
        <f aca="false">SUM(M5:M19)</f>
        <v>23.6</v>
      </c>
      <c r="N20" s="123" t="n">
        <f aca="false">SUM(N5:N19)</f>
        <v>15</v>
      </c>
      <c r="O20" s="124"/>
      <c r="P20" s="125"/>
      <c r="Q20" s="122" t="n">
        <f aca="false">SUM(Q5:Q19)</f>
        <v>265.48</v>
      </c>
      <c r="R20" s="122"/>
      <c r="S20" s="123"/>
    </row>
    <row r="21" customFormat="false" ht="16.5" hidden="false" customHeight="true" outlineLevel="0" collapsed="false">
      <c r="B21" s="126"/>
      <c r="C21" s="126"/>
      <c r="D21" s="126"/>
      <c r="E21" s="126"/>
      <c r="F21" s="126"/>
    </row>
    <row r="22" customFormat="false" ht="18.75" hidden="false" customHeight="true" outlineLevel="0" collapsed="false">
      <c r="B22" s="127" t="s">
        <v>123</v>
      </c>
      <c r="C22" s="127"/>
      <c r="D22" s="127"/>
      <c r="E22" s="127"/>
      <c r="F22" s="126"/>
      <c r="G22" s="126"/>
      <c r="H22" s="126"/>
      <c r="I22" s="126"/>
      <c r="J22" s="126"/>
      <c r="K22" s="126"/>
      <c r="L22" s="126"/>
      <c r="M22" s="126"/>
      <c r="N22" s="128"/>
      <c r="O22" s="128"/>
    </row>
    <row r="23" customFormat="false" ht="18.75" hidden="false" customHeight="true" outlineLevel="0" collapsed="false">
      <c r="B23" s="129" t="s">
        <v>124</v>
      </c>
      <c r="C23" s="129" t="s">
        <v>125</v>
      </c>
      <c r="D23" s="129" t="s">
        <v>126</v>
      </c>
      <c r="E23" s="129" t="s">
        <v>127</v>
      </c>
      <c r="F23" s="126"/>
      <c r="G23" s="126"/>
      <c r="H23" s="128"/>
      <c r="I23" s="128"/>
      <c r="J23" s="126"/>
      <c r="K23" s="126"/>
      <c r="L23" s="126"/>
      <c r="M23" s="126"/>
      <c r="N23" s="128"/>
      <c r="O23" s="128"/>
    </row>
    <row r="24" customFormat="false" ht="18.75" hidden="false" customHeight="true" outlineLevel="0" collapsed="false">
      <c r="B24" s="52" t="s">
        <v>128</v>
      </c>
      <c r="C24" s="130" t="s">
        <v>129</v>
      </c>
      <c r="D24" s="52" t="s">
        <v>130</v>
      </c>
      <c r="E24" s="131" t="n">
        <f aca="false">'Comp. Veículo'!D11</f>
        <v>52.02</v>
      </c>
      <c r="F24" s="126"/>
      <c r="G24" s="126"/>
      <c r="H24" s="132"/>
      <c r="I24" s="132"/>
      <c r="J24" s="126"/>
      <c r="K24" s="126"/>
      <c r="L24" s="126"/>
      <c r="M24" s="126"/>
      <c r="N24" s="128"/>
      <c r="O24" s="128"/>
    </row>
    <row r="25" customFormat="false" ht="18.75" hidden="false" customHeight="true" outlineLevel="0" collapsed="false">
      <c r="B25" s="112" t="s">
        <v>131</v>
      </c>
      <c r="C25" s="133" t="s">
        <v>129</v>
      </c>
      <c r="D25" s="112" t="s">
        <v>132</v>
      </c>
      <c r="E25" s="134" t="n">
        <f aca="false">'Comp. Veículo'!D27</f>
        <v>6.95</v>
      </c>
      <c r="F25" s="126"/>
      <c r="G25" s="126"/>
      <c r="H25" s="132"/>
      <c r="I25" s="132"/>
      <c r="J25" s="126"/>
      <c r="K25" s="126"/>
      <c r="L25" s="126"/>
      <c r="M25" s="126"/>
      <c r="N25" s="128"/>
      <c r="O25" s="128"/>
    </row>
    <row r="26" customFormat="false" ht="47.25" hidden="false" customHeight="true" outlineLevel="0" collapsed="false">
      <c r="B26" s="135" t="s">
        <v>133</v>
      </c>
      <c r="C26" s="135"/>
      <c r="D26" s="135"/>
      <c r="E26" s="135"/>
      <c r="F26" s="136"/>
      <c r="G26" s="136"/>
      <c r="H26" s="136"/>
      <c r="I26" s="136"/>
      <c r="J26" s="136"/>
      <c r="K26" s="136"/>
      <c r="L26" s="136"/>
      <c r="M26" s="126"/>
      <c r="N26" s="128"/>
      <c r="O26" s="128"/>
    </row>
    <row r="27" customFormat="false" ht="16.5" hidden="false" customHeight="true" outlineLevel="0" collapsed="false">
      <c r="B27" s="137"/>
      <c r="C27" s="137"/>
      <c r="D27" s="137"/>
      <c r="E27" s="137"/>
      <c r="F27" s="136"/>
      <c r="G27" s="136"/>
      <c r="H27" s="136"/>
      <c r="I27" s="136"/>
      <c r="J27" s="136"/>
      <c r="K27" s="136"/>
      <c r="L27" s="136"/>
      <c r="M27" s="126"/>
      <c r="N27" s="128"/>
      <c r="O27" s="128"/>
    </row>
    <row r="28" customFormat="false" ht="16.5" hidden="false" customHeight="true" outlineLevel="0" collapsed="false">
      <c r="B28" s="127" t="s">
        <v>134</v>
      </c>
      <c r="C28" s="127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8"/>
      <c r="O28" s="128"/>
    </row>
    <row r="29" customFormat="false" ht="16.5" hidden="false" customHeight="true" outlineLevel="0" collapsed="false">
      <c r="B29" s="52" t="s">
        <v>130</v>
      </c>
      <c r="C29" s="131" t="n">
        <f aca="false">E24*L20</f>
        <v>1077.681</v>
      </c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8"/>
      <c r="O29" s="128"/>
    </row>
    <row r="30" customFormat="false" ht="16.5" hidden="false" customHeight="true" outlineLevel="0" collapsed="false">
      <c r="B30" s="52" t="s">
        <v>132</v>
      </c>
      <c r="C30" s="131" t="n">
        <f aca="false">E25*('Base Florianópolis'!N22/12)</f>
        <v>359.546666666667</v>
      </c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8"/>
      <c r="O30" s="128"/>
    </row>
    <row r="31" customFormat="false" ht="16.5" hidden="false" customHeight="true" outlineLevel="0" collapsed="false">
      <c r="B31" s="138" t="s">
        <v>28</v>
      </c>
      <c r="C31" s="139" t="n">
        <f aca="false">C29+C30</f>
        <v>1437.22766666667</v>
      </c>
      <c r="D31" s="126"/>
      <c r="E31" s="126"/>
      <c r="F31" s="126"/>
      <c r="G31" s="126"/>
      <c r="H31" s="126"/>
      <c r="I31" s="126"/>
      <c r="M31" s="126"/>
      <c r="N31" s="128"/>
      <c r="O31" s="128"/>
    </row>
    <row r="32" customFormat="false" ht="16.5" hidden="false" customHeight="true" outlineLevel="0" collapsed="false">
      <c r="B32" s="126"/>
      <c r="C32" s="140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8"/>
      <c r="O32" s="128"/>
    </row>
    <row r="33" customFormat="false" ht="16.5" hidden="false" customHeight="true" outlineLevel="0" collapsed="false">
      <c r="B33" s="141" t="s">
        <v>135</v>
      </c>
      <c r="C33" s="141"/>
      <c r="D33" s="126"/>
      <c r="J33" s="126"/>
      <c r="K33" s="126"/>
      <c r="L33" s="126"/>
      <c r="M33" s="126"/>
      <c r="N33" s="128"/>
      <c r="O33" s="128"/>
    </row>
    <row r="34" customFormat="false" ht="16.5" hidden="false" customHeight="true" outlineLevel="0" collapsed="false">
      <c r="B34" s="142" t="s">
        <v>127</v>
      </c>
      <c r="C34" s="143" t="n">
        <f aca="false">SUM(M5:M19)</f>
        <v>23.6</v>
      </c>
      <c r="J34" s="126"/>
      <c r="K34" s="126"/>
      <c r="L34" s="126"/>
      <c r="M34" s="126"/>
      <c r="N34" s="128"/>
      <c r="O34" s="128"/>
    </row>
    <row r="35" customFormat="false" ht="16.5" hidden="false" customHeight="true" outlineLevel="0" collapsed="false">
      <c r="B35" s="126"/>
      <c r="C35" s="144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8"/>
      <c r="O35" s="128"/>
    </row>
    <row r="36" customFormat="false" ht="14.25" hidden="false" customHeight="false" outlineLevel="0" collapsed="false">
      <c r="B36" s="145" t="s">
        <v>136</v>
      </c>
      <c r="C36" s="146"/>
    </row>
    <row r="38" customFormat="false" ht="16.5" hidden="false" customHeight="true" outlineLevel="0" collapsed="false">
      <c r="B38" s="147" t="s">
        <v>67</v>
      </c>
      <c r="C38" s="147"/>
      <c r="D38" s="147"/>
      <c r="E38" s="147"/>
      <c r="F38" s="148"/>
      <c r="G38" s="148"/>
    </row>
    <row r="39" customFormat="false" ht="16.5" hidden="false" customHeight="true" outlineLevel="0" collapsed="false">
      <c r="B39" s="149" t="s">
        <v>137</v>
      </c>
      <c r="C39" s="149" t="s">
        <v>125</v>
      </c>
      <c r="D39" s="149" t="s">
        <v>126</v>
      </c>
      <c r="E39" s="149" t="s">
        <v>127</v>
      </c>
      <c r="F39" s="148"/>
      <c r="G39" s="148"/>
    </row>
    <row r="40" customFormat="false" ht="23.3" hidden="false" customHeight="false" outlineLevel="0" collapsed="false">
      <c r="B40" s="112" t="s">
        <v>138</v>
      </c>
      <c r="C40" s="150" t="s">
        <v>139</v>
      </c>
      <c r="D40" s="112" t="s">
        <v>140</v>
      </c>
      <c r="E40" s="134" t="n">
        <v>132.74</v>
      </c>
      <c r="F40" s="148"/>
      <c r="G40" s="151"/>
    </row>
    <row r="41" customFormat="false" ht="16.5" hidden="false" customHeight="true" outlineLevel="0" collapsed="false">
      <c r="B41" s="152" t="s">
        <v>141</v>
      </c>
      <c r="C41" s="152"/>
      <c r="D41" s="152"/>
      <c r="E41" s="152"/>
      <c r="F41" s="148"/>
    </row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3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B20:F20"/>
    <mergeCell ref="H20:J20"/>
    <mergeCell ref="B22:E22"/>
    <mergeCell ref="B26:E26"/>
    <mergeCell ref="B28:C28"/>
    <mergeCell ref="B33:C33"/>
    <mergeCell ref="B38:E38"/>
    <mergeCell ref="B41:E41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BN65530"/>
  <sheetViews>
    <sheetView showFormulas="false" showGridLines="false" showRowColHeaders="true" showZeros="true" rightToLeft="false" tabSelected="false" showOutlineSymbols="true" defaultGridColor="true" view="normal" topLeftCell="O4" colorId="64" zoomScale="90" zoomScaleNormal="90" zoomScalePageLayoutView="100" workbookViewId="0">
      <selection pane="topLeft" activeCell="W23" activeCellId="0" sqref="W2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true" hidden="false" outlineLevel="0" max="16" min="16" style="16" width="9.62"/>
    <col collapsed="false" customWidth="true" hidden="false" outlineLevel="0" max="17" min="17" style="16" width="23.63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23.12"/>
    <col collapsed="false" customWidth="true" hidden="false" outlineLevel="0" max="40" min="36" style="16" width="10.75"/>
    <col collapsed="false" customWidth="true" hidden="false" outlineLevel="0" max="41" min="41" style="16" width="14.5"/>
    <col collapsed="false" customWidth="true" hidden="false" outlineLevel="0" max="42" min="42" style="16" width="12.5"/>
    <col collapsed="false" customWidth="true" hidden="false" outlineLevel="0" max="43" min="43" style="16" width="14.25"/>
    <col collapsed="false" customWidth="true" hidden="false" outlineLevel="0" max="44" min="44" style="16" width="2.62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66" min="50" style="16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5" customFormat="true" ht="24.75" hidden="false" customHeight="true" outlineLevel="0" collapsed="false">
      <c r="B2" s="56" t="str">
        <f aca="false">"BASE "&amp;Resumo!B6&amp;" - PLANILHA DE FORMAÇÃO DE PREÇOS"</f>
        <v>BASE CRICIÚMA - PLANILHA DE FORMAÇÃO DE PREÇOS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7"/>
      <c r="Q2" s="46" t="str">
        <f aca="false">"BASE "&amp;Resumo!B6&amp;" – PLANILHA DE DISTRIBUIÇÃO DE CUSTOS POR UNIDADE"</f>
        <v>BASE CRICIÚMA – PLANILHA DE DISTRIBUIÇÃO DE CUSTOS POR UNIDADE</v>
      </c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7"/>
      <c r="AI2" s="59" t="str">
        <f aca="false">"BASE "&amp;Resumo!B6&amp;" – PLANILHA RESUMO DE CUSTOS DA BASE"</f>
        <v>BASE CRICIÚMA – PLANILHA RESUMO DE CUSTOS DA BASE</v>
      </c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</row>
    <row r="3" customFormat="false" ht="15" hidden="false" customHeight="true" outlineLevel="0" collapsed="false">
      <c r="B3" s="55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</row>
    <row r="4" customFormat="false" ht="19.5" hidden="false" customHeight="true" outlineLevel="0" collapsed="false">
      <c r="B4" s="49" t="s">
        <v>41</v>
      </c>
      <c r="C4" s="49" t="s">
        <v>42</v>
      </c>
      <c r="D4" s="49"/>
      <c r="E4" s="49"/>
      <c r="F4" s="49"/>
      <c r="G4" s="49"/>
      <c r="H4" s="49" t="s">
        <v>43</v>
      </c>
      <c r="I4" s="49"/>
      <c r="J4" s="49"/>
      <c r="K4" s="49"/>
      <c r="L4" s="49"/>
      <c r="M4" s="49"/>
      <c r="N4" s="49"/>
      <c r="O4" s="49" t="s">
        <v>28</v>
      </c>
      <c r="P4" s="57"/>
      <c r="Q4" s="49" t="s">
        <v>44</v>
      </c>
      <c r="R4" s="60" t="s">
        <v>45</v>
      </c>
      <c r="S4" s="60"/>
      <c r="T4" s="60"/>
      <c r="U4" s="60"/>
      <c r="V4" s="60" t="s">
        <v>46</v>
      </c>
      <c r="W4" s="60"/>
      <c r="X4" s="60"/>
      <c r="Y4" s="60"/>
      <c r="Z4" s="60" t="s">
        <v>47</v>
      </c>
      <c r="AA4" s="60"/>
      <c r="AB4" s="60"/>
      <c r="AC4" s="60"/>
      <c r="AD4" s="60" t="s">
        <v>48</v>
      </c>
      <c r="AE4" s="60"/>
      <c r="AF4" s="60"/>
      <c r="AG4" s="60"/>
      <c r="AH4" s="58"/>
      <c r="AI4" s="49" t="s">
        <v>44</v>
      </c>
      <c r="AJ4" s="61" t="s">
        <v>49</v>
      </c>
      <c r="AK4" s="61"/>
      <c r="AL4" s="61"/>
      <c r="AM4" s="61"/>
      <c r="AN4" s="61"/>
      <c r="AO4" s="61" t="s">
        <v>50</v>
      </c>
      <c r="AP4" s="61"/>
      <c r="AQ4" s="61"/>
      <c r="AR4" s="62"/>
      <c r="AS4" s="61" t="str">
        <f aca="false">"Resumo de Custos da Base "&amp;Resumo!B6</f>
        <v>Resumo de Custos da Base CRICIÚMA</v>
      </c>
      <c r="AT4" s="61"/>
      <c r="AU4" s="61"/>
      <c r="AV4" s="61"/>
      <c r="AW4" s="61"/>
    </row>
    <row r="5" customFormat="false" ht="39.75" hidden="false" customHeight="true" outlineLevel="0" collapsed="false">
      <c r="B5" s="49"/>
      <c r="C5" s="49" t="s">
        <v>28</v>
      </c>
      <c r="D5" s="49" t="s">
        <v>51</v>
      </c>
      <c r="E5" s="49" t="s">
        <v>52</v>
      </c>
      <c r="F5" s="49" t="s">
        <v>53</v>
      </c>
      <c r="G5" s="49" t="s">
        <v>54</v>
      </c>
      <c r="H5" s="49" t="s">
        <v>55</v>
      </c>
      <c r="I5" s="49" t="s">
        <v>56</v>
      </c>
      <c r="J5" s="49" t="s">
        <v>57</v>
      </c>
      <c r="K5" s="49" t="s">
        <v>58</v>
      </c>
      <c r="L5" s="49" t="s">
        <v>59</v>
      </c>
      <c r="M5" s="49" t="s">
        <v>60</v>
      </c>
      <c r="N5" s="49" t="s">
        <v>61</v>
      </c>
      <c r="O5" s="49"/>
      <c r="P5" s="57"/>
      <c r="Q5" s="49"/>
      <c r="R5" s="49" t="s">
        <v>62</v>
      </c>
      <c r="S5" s="49" t="s">
        <v>63</v>
      </c>
      <c r="T5" s="49" t="s">
        <v>64</v>
      </c>
      <c r="U5" s="49" t="s">
        <v>65</v>
      </c>
      <c r="V5" s="49" t="s">
        <v>66</v>
      </c>
      <c r="W5" s="49" t="s">
        <v>67</v>
      </c>
      <c r="X5" s="49" t="s">
        <v>68</v>
      </c>
      <c r="Y5" s="49" t="s">
        <v>69</v>
      </c>
      <c r="Z5" s="49" t="s">
        <v>70</v>
      </c>
      <c r="AA5" s="49"/>
      <c r="AB5" s="49"/>
      <c r="AC5" s="49" t="n">
        <f aca="false">N20+'Base Florianópolis'!N22</f>
        <v>1101.05</v>
      </c>
      <c r="AD5" s="60" t="s">
        <v>62</v>
      </c>
      <c r="AE5" s="60" t="s">
        <v>63</v>
      </c>
      <c r="AF5" s="60" t="s">
        <v>64</v>
      </c>
      <c r="AG5" s="60" t="s">
        <v>65</v>
      </c>
      <c r="AH5" s="45"/>
      <c r="AI5" s="49"/>
      <c r="AJ5" s="60" t="s">
        <v>71</v>
      </c>
      <c r="AK5" s="60" t="s">
        <v>62</v>
      </c>
      <c r="AL5" s="60" t="s">
        <v>63</v>
      </c>
      <c r="AM5" s="60" t="s">
        <v>64</v>
      </c>
      <c r="AN5" s="60" t="s">
        <v>65</v>
      </c>
      <c r="AO5" s="60" t="s">
        <v>72</v>
      </c>
      <c r="AP5" s="60" t="s">
        <v>73</v>
      </c>
      <c r="AQ5" s="60" t="s">
        <v>74</v>
      </c>
      <c r="AR5" s="58"/>
      <c r="AS5" s="60" t="s">
        <v>75</v>
      </c>
      <c r="AT5" s="60" t="s">
        <v>62</v>
      </c>
      <c r="AU5" s="60" t="s">
        <v>63</v>
      </c>
      <c r="AV5" s="60" t="s">
        <v>64</v>
      </c>
      <c r="AW5" s="60" t="s">
        <v>65</v>
      </c>
    </row>
    <row r="6" customFormat="false" ht="19.5" hidden="false" customHeight="true" outlineLevel="0" collapsed="false">
      <c r="B6" s="49"/>
      <c r="C6" s="63" t="s">
        <v>76</v>
      </c>
      <c r="D6" s="63" t="n">
        <v>1</v>
      </c>
      <c r="E6" s="63" t="n">
        <v>0.35</v>
      </c>
      <c r="F6" s="63" t="n">
        <v>0.1</v>
      </c>
      <c r="G6" s="49"/>
      <c r="H6" s="63" t="n">
        <v>1</v>
      </c>
      <c r="I6" s="63" t="n">
        <v>1.2</v>
      </c>
      <c r="J6" s="63" t="n">
        <v>2</v>
      </c>
      <c r="K6" s="63" t="n">
        <v>4</v>
      </c>
      <c r="L6" s="63" t="n">
        <v>1.1</v>
      </c>
      <c r="M6" s="63" t="n">
        <v>1.1</v>
      </c>
      <c r="N6" s="49"/>
      <c r="O6" s="49"/>
      <c r="P6" s="64"/>
      <c r="Q6" s="49"/>
      <c r="R6" s="63" t="s">
        <v>77</v>
      </c>
      <c r="S6" s="63" t="s">
        <v>78</v>
      </c>
      <c r="T6" s="63" t="s">
        <v>79</v>
      </c>
      <c r="U6" s="63" t="s">
        <v>80</v>
      </c>
      <c r="V6" s="49"/>
      <c r="W6" s="49"/>
      <c r="X6" s="49"/>
      <c r="Y6" s="49"/>
      <c r="Z6" s="35" t="s">
        <v>62</v>
      </c>
      <c r="AA6" s="35" t="s">
        <v>63</v>
      </c>
      <c r="AB6" s="35" t="s">
        <v>64</v>
      </c>
      <c r="AC6" s="35" t="s">
        <v>65</v>
      </c>
      <c r="AD6" s="60"/>
      <c r="AE6" s="60"/>
      <c r="AF6" s="60"/>
      <c r="AG6" s="60"/>
      <c r="AH6" s="58"/>
      <c r="AI6" s="49"/>
      <c r="AJ6" s="60"/>
      <c r="AK6" s="60"/>
      <c r="AL6" s="60"/>
      <c r="AM6" s="60"/>
      <c r="AN6" s="60"/>
      <c r="AO6" s="60"/>
      <c r="AP6" s="60"/>
      <c r="AQ6" s="60"/>
      <c r="AR6" s="65"/>
      <c r="AS6" s="60"/>
      <c r="AT6" s="35" t="s">
        <v>77</v>
      </c>
      <c r="AU6" s="35" t="s">
        <v>78</v>
      </c>
      <c r="AV6" s="35" t="s">
        <v>79</v>
      </c>
      <c r="AW6" s="35" t="s">
        <v>80</v>
      </c>
    </row>
    <row r="7" customFormat="false" ht="15" hidden="false" customHeight="true" outlineLevel="0" collapsed="false">
      <c r="B7" s="153" t="s">
        <v>142</v>
      </c>
      <c r="C7" s="66" t="n">
        <f aca="false">VLOOKUP($B7,Unidades!$D$5:$N$32,6,FALSE())</f>
        <v>1502.07</v>
      </c>
      <c r="D7" s="66" t="n">
        <f aca="false">VLOOKUP($B7,Unidades!$D$5:$N$32,7,FALSE())</f>
        <v>779.2</v>
      </c>
      <c r="E7" s="66" t="n">
        <f aca="false">VLOOKUP($B7,Unidades!$D$5:$N$32,8,FALSE())</f>
        <v>490.59</v>
      </c>
      <c r="F7" s="66" t="n">
        <f aca="false">VLOOKUP($B7,Unidades!$D$5:$N$32,9,FALSE())</f>
        <v>232.28</v>
      </c>
      <c r="G7" s="66" t="n">
        <f aca="false">D7+$E$6*E7+$F$6*F7</f>
        <v>974.1345</v>
      </c>
      <c r="H7" s="67" t="n">
        <f aca="false">IF(G7&lt;750,1.5,IF(G7&lt;2000,2,3))</f>
        <v>2</v>
      </c>
      <c r="I7" s="67" t="n">
        <f aca="false">$I$6*H7</f>
        <v>2.4</v>
      </c>
      <c r="J7" s="67" t="str">
        <f aca="false">VLOOKUP($B7,Unidades!$D$7:$N$32,10,FALSE())</f>
        <v>SIM</v>
      </c>
      <c r="K7" s="67" t="str">
        <f aca="false">VLOOKUP($B7,Unidades!$D$7:$N$32,11,FALSE())</f>
        <v>SIM</v>
      </c>
      <c r="L7" s="67" t="n">
        <f aca="false">$L$6*H7+(IF(J7="SIM",$J$6,0))</f>
        <v>4.2</v>
      </c>
      <c r="M7" s="67" t="n">
        <f aca="false">$M$6*H7+(IF(J7="SIM",$J$6,0))+(IF(K7="SIM",$K$6,0))</f>
        <v>8.2</v>
      </c>
      <c r="N7" s="67" t="n">
        <f aca="false">H7*12+I7*4+L7*2+M7</f>
        <v>50.2</v>
      </c>
      <c r="O7" s="68" t="n">
        <f aca="false">IF(K7="não", N7*(C$23+D$23),N7*(C$23+D$23)+(M7*+E$23))</f>
        <v>3173.238</v>
      </c>
      <c r="P7" s="69"/>
      <c r="Q7" s="22" t="str">
        <f aca="false">B7</f>
        <v>APS ARARANGUÁ</v>
      </c>
      <c r="R7" s="24" t="n">
        <f aca="false">H7*($C$23+$D$23)</f>
        <v>113</v>
      </c>
      <c r="S7" s="24" t="n">
        <f aca="false">I7*($C$23+$D$23)</f>
        <v>135.6</v>
      </c>
      <c r="T7" s="24" t="n">
        <f aca="false">L7*($C$23+$D$23)</f>
        <v>237.3</v>
      </c>
      <c r="U7" s="24" t="n">
        <f aca="false">IF(K7="não",M7*($C$23+$D$23),M7*(C$23+D$23+E$23))</f>
        <v>800.238</v>
      </c>
      <c r="V7" s="24" t="n">
        <f aca="false">VLOOKUP(Q7,'Desl. Base Criciúma'!$C$5:$S$17,13,FALSE())*($C$23+$D$23+$E$23*(VLOOKUP(Q7,'Desl. Base Criciúma'!$C$5:$S$17,17,FALSE())/12))</f>
        <v>59.4247986111111</v>
      </c>
      <c r="W7" s="24" t="n">
        <f aca="false">VLOOKUP(Q7,'Desl. Base Criciúma'!$C$5:$S$17,15,FALSE())*(2+(VLOOKUP(Q7,'Desl. Base Criciúma'!$C$5:$S$17,17,FALSE())/12))</f>
        <v>0</v>
      </c>
      <c r="X7" s="24" t="n">
        <f aca="false">VLOOKUP(Q7,'Desl. Base Criciúma'!$C$5:$Q$17,14,FALSE())</f>
        <v>2.5</v>
      </c>
      <c r="Y7" s="24" t="n">
        <f aca="false">VLOOKUP(Q7,'Desl. Base Criciúma'!$C$5:Q$17,13,FALSE())*'Desl. Base Criciúma'!$E$22+'Desl. Base Criciúma'!$E$23*N7/12</f>
        <v>80.6606666666667</v>
      </c>
      <c r="Z7" s="24" t="n">
        <f aca="false">(H7/$AC$5)*'Equipe Técnica'!$C$13</f>
        <v>321.405567412924</v>
      </c>
      <c r="AA7" s="24" t="n">
        <f aca="false">(I7/$AC$5)*'Equipe Técnica'!$C$13</f>
        <v>385.686680895509</v>
      </c>
      <c r="AB7" s="24" t="n">
        <f aca="false">(L7/$AC$5)*'Equipe Técnica'!$C$13</f>
        <v>674.95169156714</v>
      </c>
      <c r="AC7" s="24" t="n">
        <f aca="false">(M7/$AC$5)*'Equipe Técnica'!$C$13</f>
        <v>1317.76282639299</v>
      </c>
      <c r="AD7" s="24" t="n">
        <f aca="false">R7+(($V7+$W7+$X7+$Y7)*12/19)+$Z7</f>
        <v>524.459545483099</v>
      </c>
      <c r="AE7" s="24" t="n">
        <f aca="false">S7+(($V7+$W7+$X7+$Y7)*12/19)+$AA7</f>
        <v>611.340658965684</v>
      </c>
      <c r="AF7" s="24" t="n">
        <f aca="false">T7+(($V7+$W7+$X7+$Y7)*12/19)+$AB7</f>
        <v>1002.30566963732</v>
      </c>
      <c r="AG7" s="24" t="n">
        <f aca="false">U7+(($V7+$W7+$X7+$Y7)*12/19)+$AC7</f>
        <v>2208.05480446316</v>
      </c>
      <c r="AH7" s="154"/>
      <c r="AI7" s="22" t="str">
        <f aca="false">B7</f>
        <v>APS ARARANGUÁ</v>
      </c>
      <c r="AJ7" s="70" t="n">
        <f aca="false">VLOOKUP(AI7,Unidades!D$7:H$32,5,)</f>
        <v>0.2354</v>
      </c>
      <c r="AK7" s="50" t="n">
        <f aca="false">AD7*(1+$AJ7)</f>
        <v>647.917322489821</v>
      </c>
      <c r="AL7" s="50" t="n">
        <f aca="false">AE7*(1+$AJ7)</f>
        <v>755.250250086206</v>
      </c>
      <c r="AM7" s="50" t="n">
        <f aca="false">AF7*(1+$AJ7)</f>
        <v>1238.24842426994</v>
      </c>
      <c r="AN7" s="50" t="n">
        <f aca="false">AG7*(1+$AJ7)</f>
        <v>2727.83090543379</v>
      </c>
      <c r="AO7" s="50" t="n">
        <f aca="false">((AK7*12)+(AL7*4)+(AM7*2)+AN7)/12</f>
        <v>1333.3613853497</v>
      </c>
      <c r="AP7" s="50" t="n">
        <f aca="false">AO7*3</f>
        <v>4000.08415604909</v>
      </c>
      <c r="AQ7" s="50" t="n">
        <f aca="false">AO7+AP7</f>
        <v>5333.44554139878</v>
      </c>
      <c r="AR7" s="71"/>
      <c r="AS7" s="72" t="s">
        <v>82</v>
      </c>
      <c r="AT7" s="50" t="n">
        <f aca="false">AK20</f>
        <v>7667.94738533474</v>
      </c>
      <c r="AU7" s="50" t="n">
        <f aca="false">AL20</f>
        <v>8884.20478108879</v>
      </c>
      <c r="AV7" s="50" t="n">
        <f aca="false">AM20</f>
        <v>9355.18295322221</v>
      </c>
      <c r="AW7" s="50" t="n">
        <f aca="false">AN20</f>
        <v>15052.3255408478</v>
      </c>
    </row>
    <row r="8" customFormat="false" ht="15" hidden="false" customHeight="true" outlineLevel="0" collapsed="false">
      <c r="B8" s="153" t="s">
        <v>143</v>
      </c>
      <c r="C8" s="66" t="n">
        <f aca="false">VLOOKUP($B8,Unidades!$D$5:$N$32,6,FALSE())</f>
        <v>968.94</v>
      </c>
      <c r="D8" s="66" t="n">
        <f aca="false">VLOOKUP($B8,Unidades!$D$5:$N$32,7,FALSE())</f>
        <v>441.59</v>
      </c>
      <c r="E8" s="66" t="n">
        <f aca="false">VLOOKUP($B8,Unidades!$D$5:$N$32,8,FALSE())</f>
        <v>41.54</v>
      </c>
      <c r="F8" s="66" t="n">
        <f aca="false">VLOOKUP($B8,Unidades!$D$5:$N$32,9,FALSE())</f>
        <v>485.81</v>
      </c>
      <c r="G8" s="66" t="n">
        <f aca="false">D8+$E$6*E8+$F$6*F8</f>
        <v>504.71</v>
      </c>
      <c r="H8" s="67" t="n">
        <f aca="false">IF(G8&lt;750,1.5,IF(G8&lt;2000,2,3))</f>
        <v>1.5</v>
      </c>
      <c r="I8" s="67" t="n">
        <f aca="false">$I$6*H8</f>
        <v>1.8</v>
      </c>
      <c r="J8" s="67" t="str">
        <f aca="false">VLOOKUP($B8,Unidades!$D$7:$N$32,10,FALSE())</f>
        <v>NÃO</v>
      </c>
      <c r="K8" s="67" t="str">
        <f aca="false">VLOOKUP($B8,Unidades!$D$7:$N$32,11,FALSE())</f>
        <v>SIM</v>
      </c>
      <c r="L8" s="67" t="n">
        <f aca="false">$L$6*H8+(IF(J8="SIM",$J$6,0))</f>
        <v>1.65</v>
      </c>
      <c r="M8" s="67" t="n">
        <f aca="false">$M$6*H8+(IF(J8="SIM",$J$6,0))+(IF(K8="SIM",$K$6,0))</f>
        <v>5.65</v>
      </c>
      <c r="N8" s="67" t="n">
        <f aca="false">H8*12+I8*4+L8*2+M8</f>
        <v>34.15</v>
      </c>
      <c r="O8" s="68" t="n">
        <f aca="false">IF(K8="não", N8*(C$23+D$23),N8*(C$23+D$23)+(M8*+E$23))</f>
        <v>2161.6335</v>
      </c>
      <c r="P8" s="69"/>
      <c r="Q8" s="22" t="str">
        <f aca="false">B8</f>
        <v>APS BRAÇO DO NORTE</v>
      </c>
      <c r="R8" s="24" t="n">
        <f aca="false">H8*($C$23+$D$23)</f>
        <v>84.75</v>
      </c>
      <c r="S8" s="24" t="n">
        <f aca="false">I8*($C$23+$D$23)</f>
        <v>101.7</v>
      </c>
      <c r="T8" s="24" t="n">
        <f aca="false">L8*($C$23+$D$23)</f>
        <v>93.225</v>
      </c>
      <c r="U8" s="24" t="n">
        <f aca="false">IF(K8="não",M8*($C$23+$D$23),M8*(C$23+D$23+E$23))</f>
        <v>551.3835</v>
      </c>
      <c r="V8" s="24" t="n">
        <f aca="false">VLOOKUP(Q8,'Desl. Base Criciúma'!$C$5:$S$17,13,FALSE())*($C$23+$D$23+$E$23*(VLOOKUP(Q8,'Desl. Base Criciúma'!$C$5:$S$17,17,FALSE())/12))</f>
        <v>70.4108958333333</v>
      </c>
      <c r="W8" s="24" t="n">
        <f aca="false">VLOOKUP(Q8,'Desl. Base Criciúma'!$C$5:$S$17,15,FALSE())*(2+(VLOOKUP(Q8,'Desl. Base Criciúma'!$C$5:$S$17,17,FALSE())/12))</f>
        <v>0</v>
      </c>
      <c r="X8" s="24" t="n">
        <f aca="false">VLOOKUP(Q8,'Desl. Base Criciúma'!$C$5:$Q$17,14,FALSE())</f>
        <v>0</v>
      </c>
      <c r="Y8" s="24" t="n">
        <f aca="false">VLOOKUP(Q8,'Desl. Base Criciúma'!$C$5:Q$17,13,FALSE())*'Desl. Base Criciúma'!$E$22+'Desl. Base Criciúma'!$E$23*N8/12</f>
        <v>80.9020416666667</v>
      </c>
      <c r="Z8" s="24" t="n">
        <f aca="false">(H8/$AC$5)*'Equipe Técnica'!$C$13</f>
        <v>241.054175559693</v>
      </c>
      <c r="AA8" s="24" t="n">
        <f aca="false">(I8/$AC$5)*'Equipe Técnica'!$C$13</f>
        <v>289.265010671632</v>
      </c>
      <c r="AB8" s="24" t="n">
        <f aca="false">(L8/$AC$5)*'Equipe Técnica'!$C$13</f>
        <v>265.159593115662</v>
      </c>
      <c r="AC8" s="24" t="n">
        <f aca="false">(M8/$AC$5)*'Equipe Técnica'!$C$13</f>
        <v>907.97072794151</v>
      </c>
      <c r="AD8" s="24" t="n">
        <f aca="false">R8+(($V8+$W8+$X8+$Y8)*12/19)+$Z8</f>
        <v>421.370241349167</v>
      </c>
      <c r="AE8" s="24" t="n">
        <f aca="false">S8+(($V8+$W8+$X8+$Y8)*12/19)+$AA8</f>
        <v>486.531076461105</v>
      </c>
      <c r="AF8" s="24" t="n">
        <f aca="false">T8+(($V8+$W8+$X8+$Y8)*12/19)+$AB8</f>
        <v>453.950658905136</v>
      </c>
      <c r="AG8" s="24" t="n">
        <f aca="false">U8+(($V8+$W8+$X8+$Y8)*12/19)+$AC8</f>
        <v>1554.92029373098</v>
      </c>
      <c r="AH8" s="154"/>
      <c r="AI8" s="22" t="str">
        <f aca="false">B8</f>
        <v>APS BRAÇO DO NORTE</v>
      </c>
      <c r="AJ8" s="70" t="n">
        <f aca="false">VLOOKUP(AI8,Unidades!D$7:H$32,5,)</f>
        <v>0.2487</v>
      </c>
      <c r="AK8" s="50" t="n">
        <f aca="false">AD8*(1+$AJ8)</f>
        <v>526.165020372704</v>
      </c>
      <c r="AL8" s="50" t="n">
        <f aca="false">AE8*(1+$AJ8)</f>
        <v>607.531355176982</v>
      </c>
      <c r="AM8" s="50" t="n">
        <f aca="false">AF8*(1+$AJ8)</f>
        <v>566.848187774843</v>
      </c>
      <c r="AN8" s="50" t="n">
        <f aca="false">AG8*(1+$AJ8)</f>
        <v>1941.62897078188</v>
      </c>
      <c r="AO8" s="50" t="n">
        <f aca="false">((AK8*12)+(AL8*4)+(AM8*2)+AN8)/12</f>
        <v>984.952584292662</v>
      </c>
      <c r="AP8" s="50" t="n">
        <f aca="false">AO8*3</f>
        <v>2954.85775287799</v>
      </c>
      <c r="AQ8" s="50" t="n">
        <f aca="false">AO8+AP8</f>
        <v>3939.81033717065</v>
      </c>
      <c r="AR8" s="71"/>
      <c r="AS8" s="72" t="s">
        <v>84</v>
      </c>
      <c r="AT8" s="50" t="n">
        <f aca="false">AT7*12</f>
        <v>92015.3686240169</v>
      </c>
      <c r="AU8" s="50" t="n">
        <f aca="false">AU7*4</f>
        <v>35536.8191243552</v>
      </c>
      <c r="AV8" s="50" t="n">
        <f aca="false">AV7*2</f>
        <v>18710.3659064444</v>
      </c>
      <c r="AW8" s="50" t="n">
        <f aca="false">AW7</f>
        <v>15052.3255408478</v>
      </c>
    </row>
    <row r="9" customFormat="false" ht="15" hidden="false" customHeight="true" outlineLevel="0" collapsed="false">
      <c r="B9" s="153" t="s">
        <v>144</v>
      </c>
      <c r="C9" s="66" t="n">
        <f aca="false">VLOOKUP($B9,Unidades!$D$5:$N$32,6,FALSE())</f>
        <v>334.4</v>
      </c>
      <c r="D9" s="66" t="n">
        <f aca="false">VLOOKUP($B9,Unidades!$D$5:$N$32,7,FALSE())</f>
        <v>296</v>
      </c>
      <c r="E9" s="66" t="n">
        <f aca="false">VLOOKUP($B9,Unidades!$D$5:$N$32,8,FALSE())</f>
        <v>38.4</v>
      </c>
      <c r="F9" s="66" t="n">
        <f aca="false">VLOOKUP($B9,Unidades!$D$5:$N$32,9,FALSE())</f>
        <v>0</v>
      </c>
      <c r="G9" s="66" t="n">
        <f aca="false">D9+$E$6*E9+$F$6*F9</f>
        <v>309.44</v>
      </c>
      <c r="H9" s="67" t="n">
        <f aca="false">IF(G9&lt;750,1.5,IF(G9&lt;2000,2,3))</f>
        <v>1.5</v>
      </c>
      <c r="I9" s="67" t="n">
        <f aca="false">$I$6*H9</f>
        <v>1.8</v>
      </c>
      <c r="J9" s="67" t="str">
        <f aca="false">VLOOKUP($B9,Unidades!$D$7:$N$32,10,FALSE())</f>
        <v>NÃO</v>
      </c>
      <c r="K9" s="67" t="str">
        <f aca="false">VLOOKUP($B9,Unidades!$D$7:$N$32,11,FALSE())</f>
        <v>NÃO</v>
      </c>
      <c r="L9" s="67" t="n">
        <f aca="false">$L$6*H9+(IF(J9="SIM",$J$6,0))</f>
        <v>1.65</v>
      </c>
      <c r="M9" s="67" t="n">
        <f aca="false">$M$6*H9+(IF(J9="SIM",$J$6,0))+(IF(K9="SIM",$K$6,0))</f>
        <v>1.65</v>
      </c>
      <c r="N9" s="67" t="n">
        <f aca="false">H9*12+I9*4+L9*2+M9</f>
        <v>30.15</v>
      </c>
      <c r="O9" s="68" t="n">
        <f aca="false">IF(K9="não", N9*(C$23+D$23),N9*(C$23+D$23)+(M9*+E$23))</f>
        <v>1703.475</v>
      </c>
      <c r="P9" s="69"/>
      <c r="Q9" s="22" t="str">
        <f aca="false">B9</f>
        <v>APS CAPIVARI DE BAIXO</v>
      </c>
      <c r="R9" s="24" t="n">
        <f aca="false">H9*($C$23+$D$23)</f>
        <v>84.75</v>
      </c>
      <c r="S9" s="24" t="n">
        <f aca="false">I9*($C$23+$D$23)</f>
        <v>101.7</v>
      </c>
      <c r="T9" s="24" t="n">
        <f aca="false">L9*($C$23+$D$23)</f>
        <v>93.225</v>
      </c>
      <c r="U9" s="24" t="n">
        <f aca="false">IF(K9="não",M9*($C$23+$D$23),M9*(C$23+D$23+E$23))</f>
        <v>93.225</v>
      </c>
      <c r="V9" s="24" t="n">
        <f aca="false">VLOOKUP(Q9,'Desl. Base Criciúma'!$C$5:$S$17,13,FALSE())*($C$23+$D$23+$E$23*(VLOOKUP(Q9,'Desl. Base Criciúma'!$C$5:$S$17,17,FALSE())/12))</f>
        <v>58.9254305555556</v>
      </c>
      <c r="W9" s="24" t="n">
        <f aca="false">VLOOKUP(Q9,'Desl. Base Criciúma'!$C$5:$S$17,15,FALSE())*(2+(VLOOKUP(Q9,'Desl. Base Criciúma'!$C$5:$S$17,17,FALSE())/12))</f>
        <v>0</v>
      </c>
      <c r="X9" s="24" t="n">
        <f aca="false">VLOOKUP(Q9,'Desl. Base Criciúma'!$C$5:$Q$17,14,FALSE())</f>
        <v>2.5</v>
      </c>
      <c r="Y9" s="24" t="n">
        <f aca="false">VLOOKUP(Q9,'Desl. Base Criciúma'!$C$5:Q$17,13,FALSE())*'Desl. Base Criciúma'!$E$22+'Desl. Base Criciúma'!$E$23*N9/12</f>
        <v>68.614875</v>
      </c>
      <c r="Z9" s="24" t="n">
        <f aca="false">(H9/$AC$5)*'Equipe Técnica'!$C$13</f>
        <v>241.054175559693</v>
      </c>
      <c r="AA9" s="24" t="n">
        <f aca="false">(I9/$AC$5)*'Equipe Técnica'!$C$13</f>
        <v>289.265010671632</v>
      </c>
      <c r="AB9" s="24" t="n">
        <f aca="false">(L9/$AC$5)*'Equipe Técnica'!$C$13</f>
        <v>265.159593115662</v>
      </c>
      <c r="AC9" s="24" t="n">
        <f aca="false">(M9/$AC$5)*'Equipe Técnica'!$C$13</f>
        <v>265.159593115662</v>
      </c>
      <c r="AD9" s="24" t="n">
        <f aca="false">R9+(($V9+$W9+$X9+$Y9)*12/19)+$Z9</f>
        <v>407.934894857939</v>
      </c>
      <c r="AE9" s="24" t="n">
        <f aca="false">S9+(($V9+$W9+$X9+$Y9)*12/19)+$AA9</f>
        <v>473.095729969877</v>
      </c>
      <c r="AF9" s="24" t="n">
        <f aca="false">T9+(($V9+$W9+$X9+$Y9)*12/19)+$AB9</f>
        <v>440.515312413908</v>
      </c>
      <c r="AG9" s="24" t="n">
        <f aca="false">U9+(($V9+$W9+$X9+$Y9)*12/19)+$AC9</f>
        <v>440.515312413908</v>
      </c>
      <c r="AH9" s="154"/>
      <c r="AI9" s="22" t="str">
        <f aca="false">B9</f>
        <v>APS CAPIVARI DE BAIXO</v>
      </c>
      <c r="AJ9" s="70" t="n">
        <f aca="false">VLOOKUP(AI9,Unidades!D$7:H$32,5,)</f>
        <v>0.2354</v>
      </c>
      <c r="AK9" s="50" t="n">
        <f aca="false">AD9*(1+$AJ9)</f>
        <v>503.962769107498</v>
      </c>
      <c r="AL9" s="50" t="n">
        <f aca="false">AE9*(1+$AJ9)</f>
        <v>584.462464804786</v>
      </c>
      <c r="AM9" s="50" t="n">
        <f aca="false">AF9*(1+$AJ9)</f>
        <v>544.212616956142</v>
      </c>
      <c r="AN9" s="50" t="n">
        <f aca="false">AG9*(1+$AJ9)</f>
        <v>544.212616956142</v>
      </c>
      <c r="AO9" s="50" t="n">
        <f aca="false">((AK9*12)+(AL9*4)+(AM9*2)+AN9)/12</f>
        <v>834.836744948128</v>
      </c>
      <c r="AP9" s="50" t="n">
        <f aca="false">AO9*3</f>
        <v>2504.51023484439</v>
      </c>
      <c r="AQ9" s="50" t="n">
        <f aca="false">AO9+AP9</f>
        <v>3339.34697979251</v>
      </c>
      <c r="AR9" s="71"/>
      <c r="AS9" s="71"/>
      <c r="AT9" s="73"/>
      <c r="AU9" s="73"/>
      <c r="AV9" s="73"/>
      <c r="AW9" s="73"/>
    </row>
    <row r="10" customFormat="false" ht="15" hidden="false" customHeight="true" outlineLevel="0" collapsed="false">
      <c r="B10" s="153" t="s">
        <v>145</v>
      </c>
      <c r="C10" s="66" t="n">
        <f aca="false">VLOOKUP($B10,Unidades!$D$5:$N$32,6,FALSE())</f>
        <v>334.4</v>
      </c>
      <c r="D10" s="66" t="n">
        <f aca="false">VLOOKUP($B10,Unidades!$D$5:$N$32,7,FALSE())</f>
        <v>296</v>
      </c>
      <c r="E10" s="66" t="n">
        <f aca="false">VLOOKUP($B10,Unidades!$D$5:$N$32,8,FALSE())</f>
        <v>38.4</v>
      </c>
      <c r="F10" s="66" t="n">
        <f aca="false">VLOOKUP($B10,Unidades!$D$5:$N$32,9,FALSE())</f>
        <v>0</v>
      </c>
      <c r="G10" s="66" t="n">
        <f aca="false">D10+$E$6*E10+$F$6*F10</f>
        <v>309.44</v>
      </c>
      <c r="H10" s="67" t="n">
        <f aca="false">IF(G10&lt;750,1.5,IF(G10&lt;2000,2,3))</f>
        <v>1.5</v>
      </c>
      <c r="I10" s="67" t="n">
        <f aca="false">$I$6*H10</f>
        <v>1.8</v>
      </c>
      <c r="J10" s="67" t="str">
        <f aca="false">VLOOKUP($B10,Unidades!$D$7:$N$32,10,FALSE())</f>
        <v>NÃO</v>
      </c>
      <c r="K10" s="67" t="str">
        <f aca="false">VLOOKUP($B10,Unidades!$D$7:$N$32,11,FALSE())</f>
        <v>NÃO</v>
      </c>
      <c r="L10" s="67" t="n">
        <f aca="false">$L$6*H10+(IF(J10="SIM",$J$6,0))</f>
        <v>1.65</v>
      </c>
      <c r="M10" s="67" t="n">
        <f aca="false">$M$6*H10+(IF(J10="SIM",$J$6,0))+(IF(K10="SIM",$K$6,0))</f>
        <v>1.65</v>
      </c>
      <c r="N10" s="67" t="n">
        <f aca="false">H10*12+I10*4+L10*2+M10</f>
        <v>30.15</v>
      </c>
      <c r="O10" s="68" t="n">
        <f aca="false">IF(K10="não", N10*(C$23+D$23),N10*(C$23+D$23)+(M10*+E$23))</f>
        <v>1703.475</v>
      </c>
      <c r="P10" s="69"/>
      <c r="Q10" s="22" t="str">
        <f aca="false">B10</f>
        <v>APS FORQUILHINHA</v>
      </c>
      <c r="R10" s="24" t="n">
        <f aca="false">H10*($C$23+$D$23)</f>
        <v>84.75</v>
      </c>
      <c r="S10" s="24" t="n">
        <f aca="false">I10*($C$23+$D$23)</f>
        <v>101.7</v>
      </c>
      <c r="T10" s="24" t="n">
        <f aca="false">L10*($C$23+$D$23)</f>
        <v>93.225</v>
      </c>
      <c r="U10" s="24" t="n">
        <f aca="false">IF(K10="não",M10*($C$23+$D$23),M10*(C$23+D$23+E$23))</f>
        <v>93.225</v>
      </c>
      <c r="V10" s="24" t="n">
        <f aca="false">VLOOKUP(Q10,'Desl. Base Criciúma'!$C$5:$S$17,13,FALSE())*($C$23+$D$23+$E$23*(VLOOKUP(Q10,'Desl. Base Criciúma'!$C$5:$S$17,17,FALSE())/12))</f>
        <v>32.0166666666667</v>
      </c>
      <c r="W10" s="24" t="n">
        <f aca="false">VLOOKUP(Q10,'Desl. Base Criciúma'!$C$5:$S$17,15,FALSE())*(2+(VLOOKUP(Q10,'Desl. Base Criciúma'!$C$5:$S$17,17,FALSE())/12))</f>
        <v>0</v>
      </c>
      <c r="X10" s="24" t="n">
        <f aca="false">VLOOKUP(Q10,'Desl. Base Criciúma'!$C$5:$Q$17,14,FALSE())</f>
        <v>0</v>
      </c>
      <c r="Y10" s="24" t="n">
        <f aca="false">VLOOKUP(Q10,'Desl. Base Criciúma'!$C$5:Q$17,13,FALSE())*'Desl. Base Criciúma'!$E$22+'Desl. Base Criciúma'!$E$23*N10/12</f>
        <v>46.939875</v>
      </c>
      <c r="Z10" s="24" t="n">
        <f aca="false">(H10/$AC$5)*'Equipe Técnica'!$C$13</f>
        <v>241.054175559693</v>
      </c>
      <c r="AA10" s="24" t="n">
        <f aca="false">(I10/$AC$5)*'Equipe Técnica'!$C$13</f>
        <v>289.265010671632</v>
      </c>
      <c r="AB10" s="24" t="n">
        <f aca="false">(L10/$AC$5)*'Equipe Técnica'!$C$13</f>
        <v>265.159593115662</v>
      </c>
      <c r="AC10" s="24" t="n">
        <f aca="false">(M10/$AC$5)*'Equipe Técnica'!$C$13</f>
        <v>265.159593115662</v>
      </c>
      <c r="AD10" s="24" t="n">
        <f aca="false">R10+(($V10+$W10+$X10+$Y10)*12/19)+$Z10</f>
        <v>375.671465033377</v>
      </c>
      <c r="AE10" s="24" t="n">
        <f aca="false">S10+(($V10+$W10+$X10+$Y10)*12/19)+$AA10</f>
        <v>440.832300145316</v>
      </c>
      <c r="AF10" s="24" t="n">
        <f aca="false">T10+(($V10+$W10+$X10+$Y10)*12/19)+$AB10</f>
        <v>408.251882589347</v>
      </c>
      <c r="AG10" s="24" t="n">
        <f aca="false">U10+(($V10+$W10+$X10+$Y10)*12/19)+$AC10</f>
        <v>408.251882589347</v>
      </c>
      <c r="AH10" s="154"/>
      <c r="AI10" s="22" t="str">
        <f aca="false">B10</f>
        <v>APS FORQUILHINHA</v>
      </c>
      <c r="AJ10" s="70" t="n">
        <f aca="false">VLOOKUP(AI10,Unidades!D$7:H$32,5,)</f>
        <v>0.2487</v>
      </c>
      <c r="AK10" s="50" t="n">
        <f aca="false">AD10*(1+$AJ10)</f>
        <v>469.100958387178</v>
      </c>
      <c r="AL10" s="50" t="n">
        <f aca="false">AE10*(1+$AJ10)</f>
        <v>550.467293191456</v>
      </c>
      <c r="AM10" s="50" t="n">
        <f aca="false">AF10*(1+$AJ10)</f>
        <v>509.784125789317</v>
      </c>
      <c r="AN10" s="50" t="n">
        <f aca="false">AG10*(1+$AJ10)</f>
        <v>509.784125789317</v>
      </c>
      <c r="AO10" s="50" t="n">
        <f aca="false">((AK10*12)+(AL10*4)+(AM10*2)+AN10)/12</f>
        <v>780.036087564993</v>
      </c>
      <c r="AP10" s="50" t="n">
        <f aca="false">AO10*3</f>
        <v>2340.10826269498</v>
      </c>
      <c r="AQ10" s="50" t="n">
        <f aca="false">AO10+AP10</f>
        <v>3120.14435025997</v>
      </c>
      <c r="AR10" s="71"/>
      <c r="AS10" s="74" t="s">
        <v>72</v>
      </c>
      <c r="AT10" s="50" t="n">
        <f aca="false">(SUM(AT8:AW8))/12</f>
        <v>13442.9065996387</v>
      </c>
      <c r="AU10" s="50"/>
      <c r="AV10" s="73"/>
      <c r="AW10" s="73"/>
    </row>
    <row r="11" customFormat="false" ht="15" hidden="false" customHeight="true" outlineLevel="0" collapsed="false">
      <c r="B11" s="153" t="s">
        <v>146</v>
      </c>
      <c r="C11" s="66" t="n">
        <f aca="false">VLOOKUP($B11,Unidades!$D$5:$N$32,6,FALSE())</f>
        <v>320.7</v>
      </c>
      <c r="D11" s="66" t="n">
        <f aca="false">VLOOKUP($B11,Unidades!$D$5:$N$32,7,FALSE())</f>
        <v>255.98</v>
      </c>
      <c r="E11" s="66" t="n">
        <f aca="false">VLOOKUP($B11,Unidades!$D$5:$N$32,8,FALSE())</f>
        <v>64.72</v>
      </c>
      <c r="F11" s="66" t="n">
        <f aca="false">VLOOKUP($B11,Unidades!$D$5:$N$32,9,FALSE())</f>
        <v>0</v>
      </c>
      <c r="G11" s="66" t="n">
        <f aca="false">D11+$E$6*E11+$F$6*F11</f>
        <v>278.632</v>
      </c>
      <c r="H11" s="67" t="n">
        <f aca="false">IF(G11&lt;750,1.5,IF(G11&lt;2000,2,3))</f>
        <v>1.5</v>
      </c>
      <c r="I11" s="67" t="n">
        <f aca="false">$I$6*H11</f>
        <v>1.8</v>
      </c>
      <c r="J11" s="67" t="str">
        <f aca="false">VLOOKUP($B11,Unidades!$D$7:$N$32,10,FALSE())</f>
        <v>NÃO</v>
      </c>
      <c r="K11" s="67" t="str">
        <f aca="false">VLOOKUP($B11,Unidades!$D$7:$N$32,11,FALSE())</f>
        <v>NÃO</v>
      </c>
      <c r="L11" s="67" t="n">
        <f aca="false">$L$6*H11+(IF(J11="SIM",$J$6,0))</f>
        <v>1.65</v>
      </c>
      <c r="M11" s="67" t="n">
        <f aca="false">$M$6*H11+(IF(J11="SIM",$J$6,0))+(IF(K11="SIM",$K$6,0))</f>
        <v>1.65</v>
      </c>
      <c r="N11" s="67" t="n">
        <f aca="false">H11*12+I11*4+L11*2+M11</f>
        <v>30.15</v>
      </c>
      <c r="O11" s="68" t="n">
        <f aca="false">IF(K11="não", N11*(C$23+D$23),N11*(C$23+D$23)+(M11*+E$23))</f>
        <v>1703.475</v>
      </c>
      <c r="P11" s="69"/>
      <c r="Q11" s="22" t="str">
        <f aca="false">B11</f>
        <v>APS IÇARA</v>
      </c>
      <c r="R11" s="24" t="n">
        <f aca="false">H11*($C$23+$D$23)</f>
        <v>84.75</v>
      </c>
      <c r="S11" s="24" t="n">
        <f aca="false">I11*($C$23+$D$23)</f>
        <v>101.7</v>
      </c>
      <c r="T11" s="24" t="n">
        <f aca="false">L11*($C$23+$D$23)</f>
        <v>93.225</v>
      </c>
      <c r="U11" s="24" t="n">
        <f aca="false">IF(K11="não",M11*($C$23+$D$23),M11*(C$23+D$23+E$23))</f>
        <v>93.225</v>
      </c>
      <c r="V11" s="24" t="n">
        <f aca="false">VLOOKUP(Q11,'Desl. Base Criciúma'!$C$5:$S$17,13,FALSE())*($C$23+$D$23+$E$23*(VLOOKUP(Q11,'Desl. Base Criciúma'!$C$5:$S$17,17,FALSE())/12))</f>
        <v>32.0166666666667</v>
      </c>
      <c r="W11" s="24" t="n">
        <f aca="false">VLOOKUP(Q11,'Desl. Base Criciúma'!$C$5:$S$17,15,FALSE())*(2+(VLOOKUP(Q11,'Desl. Base Criciúma'!$C$5:$S$17,17,FALSE())/12))</f>
        <v>0</v>
      </c>
      <c r="X11" s="24" t="n">
        <f aca="false">VLOOKUP(Q11,'Desl. Base Criciúma'!$C$5:$Q$17,14,FALSE())</f>
        <v>0</v>
      </c>
      <c r="Y11" s="24" t="n">
        <f aca="false">VLOOKUP(Q11,'Desl. Base Criciúma'!$C$5:Q$17,13,FALSE())*'Desl. Base Criciúma'!$E$22+'Desl. Base Criciúma'!$E$23*N11/12</f>
        <v>46.939875</v>
      </c>
      <c r="Z11" s="24" t="n">
        <f aca="false">(H11/$AC$5)*'Equipe Técnica'!$C$13</f>
        <v>241.054175559693</v>
      </c>
      <c r="AA11" s="24" t="n">
        <f aca="false">(I11/$AC$5)*'Equipe Técnica'!$C$13</f>
        <v>289.265010671632</v>
      </c>
      <c r="AB11" s="24" t="n">
        <f aca="false">(L11/$AC$5)*'Equipe Técnica'!$C$13</f>
        <v>265.159593115662</v>
      </c>
      <c r="AC11" s="24" t="n">
        <f aca="false">(M11/$AC$5)*'Equipe Técnica'!$C$13</f>
        <v>265.159593115662</v>
      </c>
      <c r="AD11" s="24" t="n">
        <f aca="false">R11+(($V11+$W11+$X11+$Y11)*12/19)+$Z11</f>
        <v>375.671465033377</v>
      </c>
      <c r="AE11" s="24" t="n">
        <f aca="false">S11+(($V11+$W11+$X11+$Y11)*12/19)+$AA11</f>
        <v>440.832300145316</v>
      </c>
      <c r="AF11" s="24" t="n">
        <f aca="false">T11+(($V11+$W11+$X11+$Y11)*12/19)+$AB11</f>
        <v>408.251882589347</v>
      </c>
      <c r="AG11" s="24" t="n">
        <f aca="false">U11+(($V11+$W11+$X11+$Y11)*12/19)+$AC11</f>
        <v>408.251882589347</v>
      </c>
      <c r="AH11" s="154"/>
      <c r="AI11" s="22" t="str">
        <f aca="false">B11</f>
        <v>APS IÇARA</v>
      </c>
      <c r="AJ11" s="70" t="n">
        <f aca="false">VLOOKUP(AI11,Unidades!D$7:H$32,5,)</f>
        <v>0.2624</v>
      </c>
      <c r="AK11" s="50" t="n">
        <f aca="false">AD11*(1+$AJ11)</f>
        <v>474.247657458135</v>
      </c>
      <c r="AL11" s="50" t="n">
        <f aca="false">AE11*(1+$AJ11)</f>
        <v>556.506695703447</v>
      </c>
      <c r="AM11" s="50" t="n">
        <f aca="false">AF11*(1+$AJ11)</f>
        <v>515.377176580791</v>
      </c>
      <c r="AN11" s="50" t="n">
        <f aca="false">AG11*(1+$AJ11)</f>
        <v>515.377176580791</v>
      </c>
      <c r="AO11" s="50" t="n">
        <f aca="false">((AK11*12)+(AL11*4)+(AM11*2)+AN11)/12</f>
        <v>788.594183504482</v>
      </c>
      <c r="AP11" s="50" t="n">
        <f aca="false">AO11*3</f>
        <v>2365.78255051345</v>
      </c>
      <c r="AQ11" s="50" t="n">
        <f aca="false">AO11+AP11</f>
        <v>3154.37673401793</v>
      </c>
      <c r="AR11" s="71"/>
      <c r="AS11" s="74" t="s">
        <v>88</v>
      </c>
      <c r="AT11" s="50" t="n">
        <f aca="false">AT10*12</f>
        <v>161314.879195664</v>
      </c>
      <c r="AU11" s="50"/>
      <c r="AV11" s="73"/>
      <c r="AW11" s="73"/>
    </row>
    <row r="12" customFormat="false" ht="15" hidden="false" customHeight="true" outlineLevel="0" collapsed="false">
      <c r="B12" s="153" t="s">
        <v>147</v>
      </c>
      <c r="C12" s="66" t="n">
        <f aca="false">VLOOKUP($B12,Unidades!$D$5:$N$32,6,FALSE())</f>
        <v>855.4</v>
      </c>
      <c r="D12" s="66" t="n">
        <f aca="false">VLOOKUP($B12,Unidades!$D$5:$N$32,7,FALSE())</f>
        <v>626.23</v>
      </c>
      <c r="E12" s="66" t="n">
        <f aca="false">VLOOKUP($B12,Unidades!$D$5:$N$32,8,FALSE())</f>
        <v>229.17</v>
      </c>
      <c r="F12" s="66" t="n">
        <f aca="false">VLOOKUP($B12,Unidades!$D$5:$N$32,9,FALSE())</f>
        <v>0</v>
      </c>
      <c r="G12" s="66" t="n">
        <f aca="false">D12+$E$6*E12+$F$6*F12</f>
        <v>706.4395</v>
      </c>
      <c r="H12" s="67" t="n">
        <f aca="false">IF(G12&lt;750,1.5,IF(G12&lt;2000,2,3))</f>
        <v>1.5</v>
      </c>
      <c r="I12" s="67" t="n">
        <f aca="false">$I$6*H12</f>
        <v>1.8</v>
      </c>
      <c r="J12" s="67" t="str">
        <f aca="false">VLOOKUP($B12,Unidades!$D$7:$N$32,10,FALSE())</f>
        <v>NÃO</v>
      </c>
      <c r="K12" s="67" t="str">
        <f aca="false">VLOOKUP($B12,Unidades!$D$7:$N$32,11,FALSE())</f>
        <v>NÃO</v>
      </c>
      <c r="L12" s="67" t="n">
        <f aca="false">$L$6*H12+(IF(J12="SIM",$J$6,0))</f>
        <v>1.65</v>
      </c>
      <c r="M12" s="67" t="n">
        <f aca="false">$M$6*H12+(IF(J12="SIM",$J$6,0))+(IF(K12="SIM",$K$6,0))</f>
        <v>1.65</v>
      </c>
      <c r="N12" s="67" t="n">
        <f aca="false">H12*12+I12*4+L12*2+M12</f>
        <v>30.15</v>
      </c>
      <c r="O12" s="68" t="n">
        <f aca="false">IF(K12="não", N12*(C$23+D$23),N12*(C$23+D$23)+(M12*+E$23))</f>
        <v>1703.475</v>
      </c>
      <c r="P12" s="69"/>
      <c r="Q12" s="22" t="str">
        <f aca="false">B12</f>
        <v>APS LAGUNA</v>
      </c>
      <c r="R12" s="24" t="n">
        <f aca="false">H12*($C$23+$D$23)</f>
        <v>84.75</v>
      </c>
      <c r="S12" s="24" t="n">
        <f aca="false">I12*($C$23+$D$23)</f>
        <v>101.7</v>
      </c>
      <c r="T12" s="24" t="n">
        <f aca="false">L12*($C$23+$D$23)</f>
        <v>93.225</v>
      </c>
      <c r="U12" s="24" t="n">
        <f aca="false">IF(K12="não",M12*($C$23+$D$23),M12*(C$23+D$23+E$23))</f>
        <v>93.225</v>
      </c>
      <c r="V12" s="24" t="n">
        <f aca="false">VLOOKUP(Q12,'Desl. Base Criciúma'!$C$5:$S$17,13,FALSE())*($C$23+$D$23+$E$23*(VLOOKUP(Q12,'Desl. Base Criciúma'!$C$5:$S$17,17,FALSE())/12))</f>
        <v>89.9291666666667</v>
      </c>
      <c r="W12" s="24" t="n">
        <f aca="false">VLOOKUP(Q12,'Desl. Base Criciúma'!$C$5:$S$17,15,FALSE())*(2+(VLOOKUP(Q12,'Desl. Base Criciúma'!$C$5:$S$17,17,FALSE())/12))</f>
        <v>0</v>
      </c>
      <c r="X12" s="24" t="n">
        <f aca="false">VLOOKUP(Q12,'Desl. Base Criciúma'!$C$5:$Q$17,14,FALSE())</f>
        <v>5</v>
      </c>
      <c r="Y12" s="24" t="n">
        <f aca="false">VLOOKUP(Q12,'Desl. Base Criciúma'!$C$5:Q$17,13,FALSE())*'Desl. Base Criciúma'!$E$22+'Desl. Base Criciúma'!$E$23*N12/12</f>
        <v>100.260375</v>
      </c>
      <c r="Z12" s="24" t="n">
        <f aca="false">(H12/$AC$5)*'Equipe Técnica'!$C$13</f>
        <v>241.054175559693</v>
      </c>
      <c r="AA12" s="24" t="n">
        <f aca="false">(I12/$AC$5)*'Equipe Técnica'!$C$13</f>
        <v>289.265010671632</v>
      </c>
      <c r="AB12" s="24" t="n">
        <f aca="false">(L12/$AC$5)*'Equipe Técnica'!$C$13</f>
        <v>265.159593115662</v>
      </c>
      <c r="AC12" s="24" t="n">
        <f aca="false">(M12/$AC$5)*'Equipe Técnica'!$C$13</f>
        <v>265.159593115662</v>
      </c>
      <c r="AD12" s="24" t="n">
        <f aca="false">R12+(($V12+$W12+$X12+$Y12)*12/19)+$Z12</f>
        <v>449.081780822851</v>
      </c>
      <c r="AE12" s="24" t="n">
        <f aca="false">S12+(($V12+$W12+$X12+$Y12)*12/19)+$AA12</f>
        <v>514.24261593479</v>
      </c>
      <c r="AF12" s="24" t="n">
        <f aca="false">T12+(($V12+$W12+$X12+$Y12)*12/19)+$AB12</f>
        <v>481.66219837882</v>
      </c>
      <c r="AG12" s="24" t="n">
        <f aca="false">U12+(($V12+$W12+$X12+$Y12)*12/19)+$AC12</f>
        <v>481.66219837882</v>
      </c>
      <c r="AH12" s="154"/>
      <c r="AI12" s="22" t="str">
        <f aca="false">B12</f>
        <v>APS LAGUNA</v>
      </c>
      <c r="AJ12" s="70" t="n">
        <f aca="false">VLOOKUP(AI12,Unidades!D$7:H$32,5,)</f>
        <v>0.2624</v>
      </c>
      <c r="AK12" s="50" t="n">
        <f aca="false">AD12*(1+$AJ12)</f>
        <v>566.920840110767</v>
      </c>
      <c r="AL12" s="50" t="n">
        <f aca="false">AE12*(1+$AJ12)</f>
        <v>649.179878356078</v>
      </c>
      <c r="AM12" s="50" t="n">
        <f aca="false">AF12*(1+$AJ12)</f>
        <v>608.050359233423</v>
      </c>
      <c r="AN12" s="50" t="n">
        <f aca="false">AG12*(1+$AJ12)</f>
        <v>608.050359233423</v>
      </c>
      <c r="AO12" s="50" t="n">
        <f aca="false">((AK12*12)+(AL12*4)+(AM12*2)+AN12)/12</f>
        <v>935.326722704482</v>
      </c>
      <c r="AP12" s="50" t="n">
        <f aca="false">AO12*3</f>
        <v>2805.98016811345</v>
      </c>
      <c r="AQ12" s="50" t="n">
        <f aca="false">AO12+AP12</f>
        <v>3741.30689081793</v>
      </c>
      <c r="AR12" s="71"/>
      <c r="AS12" s="74" t="s">
        <v>73</v>
      </c>
      <c r="AT12" s="50" t="n">
        <f aca="false">AT10*3</f>
        <v>40328.7197989161</v>
      </c>
      <c r="AU12" s="50"/>
      <c r="AV12" s="71"/>
      <c r="AW12" s="71"/>
    </row>
    <row r="13" customFormat="false" ht="15" hidden="false" customHeight="true" outlineLevel="0" collapsed="false">
      <c r="B13" s="153" t="s">
        <v>148</v>
      </c>
      <c r="C13" s="66" t="n">
        <f aca="false">VLOOKUP($B13,Unidades!$D$5:$N$32,6,FALSE())</f>
        <v>334.4</v>
      </c>
      <c r="D13" s="66" t="n">
        <f aca="false">VLOOKUP($B13,Unidades!$D$5:$N$32,7,FALSE())</f>
        <v>296</v>
      </c>
      <c r="E13" s="66" t="n">
        <f aca="false">VLOOKUP($B13,Unidades!$D$5:$N$32,8,FALSE())</f>
        <v>38.4</v>
      </c>
      <c r="F13" s="66" t="n">
        <f aca="false">VLOOKUP($B13,Unidades!$D$5:$N$32,9,FALSE())</f>
        <v>0</v>
      </c>
      <c r="G13" s="66" t="n">
        <f aca="false">D13+$E$6*E13+$F$6*F13</f>
        <v>309.44</v>
      </c>
      <c r="H13" s="67" t="n">
        <f aca="false">IF(G13&lt;750,1.5,IF(G13&lt;2000,2,3))</f>
        <v>1.5</v>
      </c>
      <c r="I13" s="67" t="n">
        <f aca="false">$I$6*H13</f>
        <v>1.8</v>
      </c>
      <c r="J13" s="67" t="str">
        <f aca="false">VLOOKUP($B13,Unidades!$D$7:$N$32,10,FALSE())</f>
        <v>NÃO</v>
      </c>
      <c r="K13" s="67" t="str">
        <f aca="false">VLOOKUP($B13,Unidades!$D$7:$N$32,11,FALSE())</f>
        <v>NÃO</v>
      </c>
      <c r="L13" s="67" t="n">
        <f aca="false">$L$6*H13+(IF(J13="SIM",$J$6,0))</f>
        <v>1.65</v>
      </c>
      <c r="M13" s="67" t="n">
        <f aca="false">$M$6*H13+(IF(J13="SIM",$J$6,0))+(IF(K13="SIM",$K$6,0))</f>
        <v>1.65</v>
      </c>
      <c r="N13" s="67" t="n">
        <f aca="false">H13*12+I13*4+L13*2+M13</f>
        <v>30.15</v>
      </c>
      <c r="O13" s="68" t="n">
        <f aca="false">IF(K13="não", N13*(C$23+D$23),N13*(C$23+D$23)+(M13*+E$23))</f>
        <v>1703.475</v>
      </c>
      <c r="P13" s="69"/>
      <c r="Q13" s="22" t="str">
        <f aca="false">B13</f>
        <v>APS SOMBRIO</v>
      </c>
      <c r="R13" s="24" t="n">
        <f aca="false">H13*($C$23+$D$23)</f>
        <v>84.75</v>
      </c>
      <c r="S13" s="24" t="n">
        <f aca="false">I13*($C$23+$D$23)</f>
        <v>101.7</v>
      </c>
      <c r="T13" s="24" t="n">
        <f aca="false">L13*($C$23+$D$23)</f>
        <v>93.225</v>
      </c>
      <c r="U13" s="24" t="n">
        <f aca="false">IF(K13="não",M13*($C$23+$D$23),M13*(C$23+D$23+E$23))</f>
        <v>93.225</v>
      </c>
      <c r="V13" s="24" t="n">
        <f aca="false">VLOOKUP(Q13,'Desl. Base Criciúma'!$C$5:$S$17,13,FALSE())*($C$23+$D$23+$E$23*(VLOOKUP(Q13,'Desl. Base Criciúma'!$C$5:$S$17,17,FALSE())/12))</f>
        <v>59.4247986111111</v>
      </c>
      <c r="W13" s="24" t="n">
        <f aca="false">VLOOKUP(Q13,'Desl. Base Criciúma'!$C$5:$S$17,15,FALSE())*(2+(VLOOKUP(Q13,'Desl. Base Criciúma'!$C$5:$S$17,17,FALSE())/12))</f>
        <v>0</v>
      </c>
      <c r="X13" s="24" t="n">
        <f aca="false">VLOOKUP(Q13,'Desl. Base Criciúma'!$C$5:$Q$17,14,FALSE())</f>
        <v>2.5</v>
      </c>
      <c r="Y13" s="24" t="n">
        <f aca="false">VLOOKUP(Q13,'Desl. Base Criciúma'!$C$5:Q$17,13,FALSE())*'Desl. Base Criciúma'!$E$22+'Desl. Base Criciúma'!$E$23*N13/12</f>
        <v>69.048375</v>
      </c>
      <c r="Z13" s="24" t="n">
        <f aca="false">(H13/$AC$5)*'Equipe Técnica'!$C$13</f>
        <v>241.054175559693</v>
      </c>
      <c r="AA13" s="24" t="n">
        <f aca="false">(I13/$AC$5)*'Equipe Técnica'!$C$13</f>
        <v>289.265010671632</v>
      </c>
      <c r="AB13" s="24" t="n">
        <f aca="false">(L13/$AC$5)*'Equipe Técnica'!$C$13</f>
        <v>265.159593115662</v>
      </c>
      <c r="AC13" s="24" t="n">
        <f aca="false">(M13/$AC$5)*'Equipe Técnica'!$C$13</f>
        <v>265.159593115662</v>
      </c>
      <c r="AD13" s="24" t="n">
        <f aca="false">R13+(($V13+$W13+$X13+$Y13)*12/19)+$Z13</f>
        <v>408.5240746825</v>
      </c>
      <c r="AE13" s="24" t="n">
        <f aca="false">S13+(($V13+$W13+$X13+$Y13)*12/19)+$AA13</f>
        <v>473.684909794439</v>
      </c>
      <c r="AF13" s="24" t="n">
        <f aca="false">T13+(($V13+$W13+$X13+$Y13)*12/19)+$AB13</f>
        <v>441.104492238469</v>
      </c>
      <c r="AG13" s="24" t="n">
        <f aca="false">U13+(($V13+$W13+$X13+$Y13)*12/19)+$AC13</f>
        <v>441.104492238469</v>
      </c>
      <c r="AH13" s="154"/>
      <c r="AI13" s="22" t="str">
        <f aca="false">B13</f>
        <v>APS SOMBRIO</v>
      </c>
      <c r="AJ13" s="70" t="n">
        <f aca="false">VLOOKUP(AI13,Unidades!D$7:H$32,5,)</f>
        <v>0.2354</v>
      </c>
      <c r="AK13" s="50" t="n">
        <f aca="false">AD13*(1+$AJ13)</f>
        <v>504.690641862761</v>
      </c>
      <c r="AL13" s="50" t="n">
        <f aca="false">AE13*(1+$AJ13)</f>
        <v>585.19033756005</v>
      </c>
      <c r="AM13" s="50" t="n">
        <f aca="false">AF13*(1+$AJ13)</f>
        <v>544.940489711405</v>
      </c>
      <c r="AN13" s="50" t="n">
        <f aca="false">AG13*(1+$AJ13)</f>
        <v>544.940489711405</v>
      </c>
      <c r="AO13" s="50" t="n">
        <f aca="false">((AK13*12)+(AL13*4)+(AM13*2)+AN13)/12</f>
        <v>835.989210143962</v>
      </c>
      <c r="AP13" s="50" t="n">
        <f aca="false">AO13*3</f>
        <v>2507.96763043189</v>
      </c>
      <c r="AQ13" s="50" t="n">
        <f aca="false">AO13+AP13</f>
        <v>3343.95684057585</v>
      </c>
      <c r="AR13" s="71"/>
      <c r="AS13" s="74" t="s">
        <v>91</v>
      </c>
      <c r="AT13" s="50" t="n">
        <f aca="false">AT12*12</f>
        <v>483944.637586993</v>
      </c>
      <c r="AU13" s="50"/>
      <c r="AV13" s="73"/>
      <c r="AW13" s="73"/>
    </row>
    <row r="14" customFormat="false" ht="15" hidden="false" customHeight="true" outlineLevel="0" collapsed="false">
      <c r="B14" s="153" t="s">
        <v>149</v>
      </c>
      <c r="C14" s="66" t="n">
        <f aca="false">VLOOKUP($B14,Unidades!$D$5:$N$32,6,FALSE())</f>
        <v>3534</v>
      </c>
      <c r="D14" s="66" t="n">
        <f aca="false">VLOOKUP($B14,Unidades!$D$5:$N$32,7,FALSE())</f>
        <v>1583.57</v>
      </c>
      <c r="E14" s="66" t="n">
        <f aca="false">VLOOKUP($B14,Unidades!$D$5:$N$32,8,FALSE())</f>
        <v>673.64</v>
      </c>
      <c r="F14" s="66" t="n">
        <f aca="false">VLOOKUP($B14,Unidades!$D$5:$N$32,9,FALSE())</f>
        <v>1276.79</v>
      </c>
      <c r="G14" s="66" t="n">
        <f aca="false">D14+$E$6*E14+$F$6*F14</f>
        <v>1947.023</v>
      </c>
      <c r="H14" s="67" t="n">
        <f aca="false">IF(G14&lt;750,1.5,IF(G14&lt;2000,2,3))</f>
        <v>2</v>
      </c>
      <c r="I14" s="67" t="n">
        <f aca="false">$I$6*H14</f>
        <v>2.4</v>
      </c>
      <c r="J14" s="67" t="str">
        <f aca="false">VLOOKUP($B14,Unidades!$D$7:$N$32,10,FALSE())</f>
        <v>NÃO</v>
      </c>
      <c r="K14" s="67" t="str">
        <f aca="false">VLOOKUP($B14,Unidades!$D$7:$N$32,11,FALSE())</f>
        <v>SIM</v>
      </c>
      <c r="L14" s="67" t="n">
        <f aca="false">$L$6*H14+(IF(J14="SIM",$J$6,0))</f>
        <v>2.2</v>
      </c>
      <c r="M14" s="67" t="n">
        <f aca="false">$M$6*H14+(IF(J14="SIM",$J$6,0))+(IF(K14="SIM",$K$6,0))</f>
        <v>6.2</v>
      </c>
      <c r="N14" s="67" t="n">
        <f aca="false">H14*12+I14*4+L14*2+M14</f>
        <v>44.2</v>
      </c>
      <c r="O14" s="68" t="n">
        <f aca="false">IF(K14="não", N14*(C$23+D$23),N14*(C$23+D$23)+(M14*+E$23))</f>
        <v>2752.058</v>
      </c>
      <c r="P14" s="69"/>
      <c r="Q14" s="22" t="str">
        <f aca="false">B14</f>
        <v>APS TUBARÃO</v>
      </c>
      <c r="R14" s="24" t="n">
        <f aca="false">H14*($C$23+$D$23)</f>
        <v>113</v>
      </c>
      <c r="S14" s="24" t="n">
        <f aca="false">I14*($C$23+$D$23)</f>
        <v>135.6</v>
      </c>
      <c r="T14" s="24" t="n">
        <f aca="false">L14*($C$23+$D$23)</f>
        <v>124.3</v>
      </c>
      <c r="U14" s="24" t="n">
        <f aca="false">IF(K14="não",M14*($C$23+$D$23),M14*(C$23+D$23+E$23))</f>
        <v>605.058</v>
      </c>
      <c r="V14" s="24" t="n">
        <f aca="false">VLOOKUP(Q14,'Desl. Base Criciúma'!$C$5:$S$17,13,FALSE())*($C$23+$D$23+$E$23*(VLOOKUP(Q14,'Desl. Base Criciúma'!$C$5:$S$17,17,FALSE())/12))</f>
        <v>58.9254305555556</v>
      </c>
      <c r="W14" s="24" t="n">
        <f aca="false">VLOOKUP(Q14,'Desl. Base Criciúma'!$C$5:$S$17,15,FALSE())*(2+(VLOOKUP(Q14,'Desl. Base Criciúma'!$C$5:$S$17,17,FALSE())/12))</f>
        <v>0</v>
      </c>
      <c r="X14" s="24" t="n">
        <f aca="false">VLOOKUP(Q14,'Desl. Base Criciúma'!$C$5:$Q$17,14,FALSE())</f>
        <v>2.5</v>
      </c>
      <c r="Y14" s="24" t="n">
        <f aca="false">VLOOKUP(Q14,'Desl. Base Criciúma'!$C$5:Q$17,13,FALSE())*'Desl. Base Criciúma'!$E$22+'Desl. Base Criciúma'!$E$23*N14/12</f>
        <v>76.7521666666667</v>
      </c>
      <c r="Z14" s="24" t="n">
        <f aca="false">(H14/$AC$5)*'Equipe Técnica'!$C$13</f>
        <v>321.405567412924</v>
      </c>
      <c r="AA14" s="24" t="n">
        <f aca="false">(I14/$AC$5)*'Equipe Técnica'!$C$13</f>
        <v>385.686680895509</v>
      </c>
      <c r="AB14" s="24" t="n">
        <f aca="false">(L14/$AC$5)*'Equipe Técnica'!$C$13</f>
        <v>353.546124154216</v>
      </c>
      <c r="AC14" s="24" t="n">
        <f aca="false">(M14/$AC$5)*'Equipe Técnica'!$C$13</f>
        <v>996.357258980065</v>
      </c>
      <c r="AD14" s="24" t="n">
        <f aca="false">R14+(($V14+$W14+$X14+$Y14)*12/19)+$Z14</f>
        <v>521.675628816433</v>
      </c>
      <c r="AE14" s="24" t="n">
        <f aca="false">S14+(($V14+$W14+$X14+$Y14)*12/19)+$AA14</f>
        <v>608.556742299018</v>
      </c>
      <c r="AF14" s="24" t="n">
        <f aca="false">T14+(($V14+$W14+$X14+$Y14)*12/19)+$AB14</f>
        <v>565.116185557725</v>
      </c>
      <c r="AG14" s="24" t="n">
        <f aca="false">U14+(($V14+$W14+$X14+$Y14)*12/19)+$AC14</f>
        <v>1688.68532038357</v>
      </c>
      <c r="AH14" s="154"/>
      <c r="AI14" s="22" t="str">
        <f aca="false">B14</f>
        <v>APS TUBARÃO</v>
      </c>
      <c r="AJ14" s="70" t="n">
        <f aca="false">VLOOKUP(AI14,Unidades!D$7:H$32,5,)</f>
        <v>0.2223</v>
      </c>
      <c r="AK14" s="50" t="n">
        <f aca="false">AD14*(1+$AJ14)</f>
        <v>637.644121102326</v>
      </c>
      <c r="AL14" s="50" t="n">
        <f aca="false">AE14*(1+$AJ14)</f>
        <v>743.838906112089</v>
      </c>
      <c r="AM14" s="50" t="n">
        <f aca="false">AF14*(1+$AJ14)</f>
        <v>690.741513607208</v>
      </c>
      <c r="AN14" s="50" t="n">
        <f aca="false">AG14*(1+$AJ14)</f>
        <v>2064.08006710484</v>
      </c>
      <c r="AO14" s="50" t="n">
        <f aca="false">((AK14*12)+(AL14*4)+(AM14*2)+AN14)/12</f>
        <v>1172.72068099963</v>
      </c>
      <c r="AP14" s="50" t="n">
        <f aca="false">AO14*3</f>
        <v>3518.16204299888</v>
      </c>
      <c r="AQ14" s="50" t="n">
        <f aca="false">AO14+AP14</f>
        <v>4690.88272399851</v>
      </c>
      <c r="AR14" s="71"/>
      <c r="AS14" s="74" t="s">
        <v>93</v>
      </c>
      <c r="AT14" s="50" t="n">
        <f aca="false">AT10+AT12</f>
        <v>53771.6263985547</v>
      </c>
      <c r="AU14" s="50"/>
      <c r="AV14" s="73"/>
      <c r="AW14" s="73"/>
    </row>
    <row r="15" customFormat="false" ht="15" hidden="false" customHeight="true" outlineLevel="0" collapsed="false">
      <c r="B15" s="153" t="s">
        <v>150</v>
      </c>
      <c r="C15" s="66" t="n">
        <f aca="false">VLOOKUP($B15,Unidades!$D$5:$N$32,6,FALSE())</f>
        <v>448.68</v>
      </c>
      <c r="D15" s="66" t="n">
        <f aca="false">VLOOKUP($B15,Unidades!$D$5:$N$32,7,FALSE())</f>
        <v>341.03</v>
      </c>
      <c r="E15" s="66" t="n">
        <f aca="false">VLOOKUP($B15,Unidades!$D$5:$N$32,8,FALSE())</f>
        <v>107.65</v>
      </c>
      <c r="F15" s="66" t="n">
        <f aca="false">VLOOKUP($B15,Unidades!$D$5:$N$32,9,FALSE())</f>
        <v>0</v>
      </c>
      <c r="G15" s="66" t="n">
        <f aca="false">D15+$E$6*E15+$F$6*F15</f>
        <v>378.7075</v>
      </c>
      <c r="H15" s="67" t="n">
        <f aca="false">IF(G15&lt;750,1.5,IF(G15&lt;2000,2,3))</f>
        <v>1.5</v>
      </c>
      <c r="I15" s="67" t="n">
        <f aca="false">$I$6*H15</f>
        <v>1.8</v>
      </c>
      <c r="J15" s="67" t="str">
        <f aca="false">VLOOKUP($B15,Unidades!$D$7:$N$32,10,FALSE())</f>
        <v>NÃO</v>
      </c>
      <c r="K15" s="67" t="str">
        <f aca="false">VLOOKUP($B15,Unidades!$D$7:$N$32,11,FALSE())</f>
        <v>NÃO</v>
      </c>
      <c r="L15" s="67" t="n">
        <f aca="false">$L$6*H15+(IF(J15="SIM",$J$6,0))</f>
        <v>1.65</v>
      </c>
      <c r="M15" s="67" t="n">
        <f aca="false">$M$6*H15+(IF(J15="SIM",$J$6,0))+(IF(K15="SIM",$K$6,0))</f>
        <v>1.65</v>
      </c>
      <c r="N15" s="67" t="n">
        <f aca="false">H15*12+I15*4+L15*2+M15</f>
        <v>30.15</v>
      </c>
      <c r="O15" s="68" t="n">
        <f aca="false">IF(K15="não", N15*(C$23+D$23),N15*(C$23+D$23)+(M15*+E$23))</f>
        <v>1703.475</v>
      </c>
      <c r="P15" s="69"/>
      <c r="Q15" s="22" t="str">
        <f aca="false">B15</f>
        <v>APS URUSSANGA</v>
      </c>
      <c r="R15" s="24" t="n">
        <f aca="false">H15*($C$23+$D$23)</f>
        <v>84.75</v>
      </c>
      <c r="S15" s="24" t="n">
        <f aca="false">I15*($C$23+$D$23)</f>
        <v>101.7</v>
      </c>
      <c r="T15" s="24" t="n">
        <f aca="false">L15*($C$23+$D$23)</f>
        <v>93.225</v>
      </c>
      <c r="U15" s="24" t="n">
        <f aca="false">IF(K15="não",M15*($C$23+$D$23),M15*(C$23+D$23+E$23))</f>
        <v>93.225</v>
      </c>
      <c r="V15" s="24" t="n">
        <f aca="false">VLOOKUP(Q15,'Desl. Base Criciúma'!$C$5:$S$17,13,FALSE())*($C$23+$D$23+$E$23*(VLOOKUP(Q15,'Desl. Base Criciúma'!$C$5:$S$17,17,FALSE())/12))</f>
        <v>70.4108958333333</v>
      </c>
      <c r="W15" s="24" t="n">
        <f aca="false">VLOOKUP(Q15,'Desl. Base Criciúma'!$C$5:$S$17,15,FALSE())*(2+(VLOOKUP(Q15,'Desl. Base Criciúma'!$C$5:$S$17,17,FALSE())/12))</f>
        <v>0</v>
      </c>
      <c r="X15" s="24" t="n">
        <f aca="false">VLOOKUP(Q15,'Desl. Base Criciúma'!$C$5:$Q$17,14,FALSE())</f>
        <v>0</v>
      </c>
      <c r="Y15" s="24" t="n">
        <f aca="false">VLOOKUP(Q15,'Desl. Base Criciúma'!$C$5:Q$17,13,FALSE())*'Desl. Base Criciúma'!$E$22+'Desl. Base Criciúma'!$E$23*N15/12</f>
        <v>78.585375</v>
      </c>
      <c r="Z15" s="24" t="n">
        <f aca="false">(H15/$AC$5)*'Equipe Técnica'!$C$13</f>
        <v>241.054175559693</v>
      </c>
      <c r="AA15" s="24" t="n">
        <f aca="false">(I15/$AC$5)*'Equipe Técnica'!$C$13</f>
        <v>289.265010671632</v>
      </c>
      <c r="AB15" s="24" t="n">
        <f aca="false">(L15/$AC$5)*'Equipe Técnica'!$C$13</f>
        <v>265.159593115662</v>
      </c>
      <c r="AC15" s="24" t="n">
        <f aca="false">(M15/$AC$5)*'Equipe Técnica'!$C$13</f>
        <v>265.159593115662</v>
      </c>
      <c r="AD15" s="24" t="n">
        <f aca="false">R15+(($V15+$W15+$X15+$Y15)*12/19)+$Z15</f>
        <v>419.90708345443</v>
      </c>
      <c r="AE15" s="24" t="n">
        <f aca="false">S15+(($V15+$W15+$X15+$Y15)*12/19)+$AA15</f>
        <v>485.067918566368</v>
      </c>
      <c r="AF15" s="24" t="n">
        <f aca="false">T15+(($V15+$W15+$X15+$Y15)*12/19)+$AB15</f>
        <v>452.487501010399</v>
      </c>
      <c r="AG15" s="24" t="n">
        <f aca="false">U15+(($V15+$W15+$X15+$Y15)*12/19)+$AC15</f>
        <v>452.487501010399</v>
      </c>
      <c r="AH15" s="154"/>
      <c r="AI15" s="22" t="str">
        <f aca="false">B15</f>
        <v>APS URUSSANGA</v>
      </c>
      <c r="AJ15" s="70" t="n">
        <f aca="false">VLOOKUP(AI15,Unidades!D$7:H$32,5,)</f>
        <v>0.2354</v>
      </c>
      <c r="AK15" s="50" t="n">
        <f aca="false">AD15*(1+$AJ15)</f>
        <v>518.753210899603</v>
      </c>
      <c r="AL15" s="50" t="n">
        <f aca="false">AE15*(1+$AJ15)</f>
        <v>599.252906596892</v>
      </c>
      <c r="AM15" s="50" t="n">
        <f aca="false">AF15*(1+$AJ15)</f>
        <v>559.003058748247</v>
      </c>
      <c r="AN15" s="50" t="n">
        <f aca="false">AG15*(1+$AJ15)</f>
        <v>559.003058748247</v>
      </c>
      <c r="AO15" s="50" t="n">
        <f aca="false">((AK15*12)+(AL15*4)+(AM15*2)+AN15)/12</f>
        <v>858.254944452295</v>
      </c>
      <c r="AP15" s="50" t="n">
        <f aca="false">AO15*3</f>
        <v>2574.76483335689</v>
      </c>
      <c r="AQ15" s="50" t="n">
        <f aca="false">AO15+AP15</f>
        <v>3433.01977780918</v>
      </c>
      <c r="AR15" s="71"/>
      <c r="AS15" s="74" t="s">
        <v>95</v>
      </c>
      <c r="AT15" s="50" t="n">
        <f aca="false">AT11+AT13</f>
        <v>645259.516782657</v>
      </c>
      <c r="AU15" s="50"/>
      <c r="AV15" s="71"/>
      <c r="AW15" s="71"/>
    </row>
    <row r="16" customFormat="false" ht="15" hidden="false" customHeight="true" outlineLevel="0" collapsed="false">
      <c r="B16" s="153" t="s">
        <v>151</v>
      </c>
      <c r="C16" s="66" t="n">
        <f aca="false">VLOOKUP($B16,Unidades!$D$5:$N$32,6,FALSE())</f>
        <v>2017.43</v>
      </c>
      <c r="D16" s="66" t="n">
        <f aca="false">VLOOKUP($B16,Unidades!$D$5:$N$32,7,FALSE())</f>
        <v>205.51</v>
      </c>
      <c r="E16" s="66" t="n">
        <f aca="false">VLOOKUP($B16,Unidades!$D$5:$N$32,8,FALSE())</f>
        <v>1811.92</v>
      </c>
      <c r="F16" s="66" t="n">
        <f aca="false">VLOOKUP($B16,Unidades!$D$5:$N$32,9,FALSE())</f>
        <v>0</v>
      </c>
      <c r="G16" s="66" t="n">
        <f aca="false">D16+$E$6*E16+$F$6*F16</f>
        <v>839.682</v>
      </c>
      <c r="H16" s="67" t="n">
        <f aca="false">IF(G16&lt;750,1.5,IF(G16&lt;2000,2,3))</f>
        <v>2</v>
      </c>
      <c r="I16" s="67" t="n">
        <f aca="false">$I$6*H16</f>
        <v>2.4</v>
      </c>
      <c r="J16" s="67" t="str">
        <f aca="false">VLOOKUP($B16,Unidades!$D$7:$N$32,10,FALSE())</f>
        <v>SIM</v>
      </c>
      <c r="K16" s="67" t="str">
        <f aca="false">VLOOKUP($B16,Unidades!$D$7:$N$32,11,FALSE())</f>
        <v>NÃO</v>
      </c>
      <c r="L16" s="67" t="n">
        <f aca="false">$L$6*H16+(IF(J16="SIM",$J$6,0))</f>
        <v>4.2</v>
      </c>
      <c r="M16" s="67" t="n">
        <f aca="false">$M$6*H16+(IF(J16="SIM",$J$6,0))+(IF(K16="SIM",$K$6,0))</f>
        <v>4.2</v>
      </c>
      <c r="N16" s="67" t="n">
        <f aca="false">H16*12+I16*4+L16*2+M16</f>
        <v>46.2</v>
      </c>
      <c r="O16" s="68" t="n">
        <f aca="false">IF(K16="não", N16*(C$23+D$23),N16*(C$23+D$23)+(M16*+E$23))</f>
        <v>2610.3</v>
      </c>
      <c r="P16" s="69"/>
      <c r="Q16" s="22" t="str">
        <f aca="false">B16</f>
        <v>CEDOCPREV CRICIÚMA</v>
      </c>
      <c r="R16" s="24" t="n">
        <f aca="false">H16*($C$23+$D$23)</f>
        <v>113</v>
      </c>
      <c r="S16" s="24" t="n">
        <f aca="false">I16*($C$23+$D$23)</f>
        <v>135.6</v>
      </c>
      <c r="T16" s="24" t="n">
        <f aca="false">L16*($C$23+$D$23)</f>
        <v>237.3</v>
      </c>
      <c r="U16" s="24" t="n">
        <f aca="false">IF(K16="não",M16*($C$23+$D$23),M16*(C$23+D$23+E$23))</f>
        <v>237.3</v>
      </c>
      <c r="V16" s="24" t="n">
        <f aca="false">VLOOKUP(Q16,'Desl. Base Criciúma'!$C$5:$S$17,13,FALSE())*($C$23+$D$23+$E$23*(VLOOKUP(Q16,'Desl. Base Criciúma'!$C$5:$S$17,17,FALSE())/12))</f>
        <v>10.9860972222222</v>
      </c>
      <c r="W16" s="24" t="n">
        <f aca="false">VLOOKUP(Q16,'Desl. Base Criciúma'!$C$5:$S$17,15,FALSE())*(2+(VLOOKUP(Q16,'Desl. Base Criciúma'!$C$5:$S$17,17,FALSE())/12))</f>
        <v>0</v>
      </c>
      <c r="X16" s="24" t="n">
        <f aca="false">VLOOKUP(Q16,'Desl. Base Criciúma'!$C$5:$Q$17,14,FALSE())</f>
        <v>0</v>
      </c>
      <c r="Y16" s="24" t="n">
        <f aca="false">VLOOKUP(Q16,'Desl. Base Criciúma'!$C$5:Q$17,13,FALSE())*'Desl. Base Criciúma'!$E$22+'Desl. Base Criciúma'!$E$23*N16/12</f>
        <v>36.2945</v>
      </c>
      <c r="Z16" s="24" t="n">
        <f aca="false">(H16/$AC$5)*'Equipe Técnica'!$C$13</f>
        <v>321.405567412924</v>
      </c>
      <c r="AA16" s="24" t="n">
        <f aca="false">(I16/$AC$5)*'Equipe Técnica'!$C$13</f>
        <v>385.686680895509</v>
      </c>
      <c r="AB16" s="24" t="n">
        <f aca="false">(L16/$AC$5)*'Equipe Técnica'!$C$13</f>
        <v>674.95169156714</v>
      </c>
      <c r="AC16" s="24" t="n">
        <f aca="false">(M16/$AC$5)*'Equipe Técnica'!$C$13</f>
        <v>674.95169156714</v>
      </c>
      <c r="AD16" s="24" t="n">
        <f aca="false">R16+(($V16+$W16+$X16+$Y16)*12/19)+$Z16</f>
        <v>464.266997237485</v>
      </c>
      <c r="AE16" s="24" t="n">
        <f aca="false">S16+(($V16+$W16+$X16+$Y16)*12/19)+$AA16</f>
        <v>551.14811072007</v>
      </c>
      <c r="AF16" s="24" t="n">
        <f aca="false">T16+(($V16+$W16+$X16+$Y16)*12/19)+$AB16</f>
        <v>942.113121391702</v>
      </c>
      <c r="AG16" s="24" t="n">
        <f aca="false">U16+(($V16+$W16+$X16+$Y16)*12/19)+$AC16</f>
        <v>942.113121391702</v>
      </c>
      <c r="AH16" s="154"/>
      <c r="AI16" s="22" t="str">
        <f aca="false">B16</f>
        <v>CEDOCPREV CRICIÚMA</v>
      </c>
      <c r="AJ16" s="70" t="n">
        <f aca="false">VLOOKUP(AI16,Unidades!D$7:H$32,5,)</f>
        <v>0.2487</v>
      </c>
      <c r="AK16" s="50" t="n">
        <f aca="false">AD16*(1+$AJ16)</f>
        <v>579.730199450448</v>
      </c>
      <c r="AL16" s="50" t="n">
        <f aca="false">AE16*(1+$AJ16)</f>
        <v>688.218645856152</v>
      </c>
      <c r="AM16" s="50" t="n">
        <f aca="false">AF16*(1+$AJ16)</f>
        <v>1176.41665468182</v>
      </c>
      <c r="AN16" s="50" t="n">
        <f aca="false">AG16*(1+$AJ16)</f>
        <v>1176.41665468182</v>
      </c>
      <c r="AO16" s="50" t="n">
        <f aca="false">((AK16*12)+(AL16*4)+(AM16*2)+AN16)/12</f>
        <v>1103.24057840629</v>
      </c>
      <c r="AP16" s="50" t="n">
        <f aca="false">AO16*3</f>
        <v>3309.72173521886</v>
      </c>
      <c r="AQ16" s="50" t="n">
        <f aca="false">AO16+AP16</f>
        <v>4412.96231362515</v>
      </c>
      <c r="AR16" s="71"/>
      <c r="AS16" s="71"/>
      <c r="AT16" s="71"/>
      <c r="AU16" s="71"/>
      <c r="AV16" s="71"/>
      <c r="AW16" s="71"/>
    </row>
    <row r="17" customFormat="false" ht="15" hidden="false" customHeight="true" outlineLevel="0" collapsed="false">
      <c r="B17" s="153" t="s">
        <v>152</v>
      </c>
      <c r="C17" s="66" t="n">
        <f aca="false">VLOOKUP($B17,Unidades!$D$5:$N$32,6,FALSE())</f>
        <v>3365.38</v>
      </c>
      <c r="D17" s="66" t="n">
        <f aca="false">VLOOKUP($B17,Unidades!$D$5:$N$32,7,FALSE())</f>
        <v>2625.54</v>
      </c>
      <c r="E17" s="66" t="n">
        <f aca="false">VLOOKUP($B17,Unidades!$D$5:$N$32,8,FALSE())</f>
        <v>739.84</v>
      </c>
      <c r="F17" s="66" t="n">
        <f aca="false">VLOOKUP($B17,Unidades!$D$5:$N$32,9,FALSE())</f>
        <v>0</v>
      </c>
      <c r="G17" s="66" t="n">
        <f aca="false">D17+$E$6*E17+$F$6*F17</f>
        <v>2884.484</v>
      </c>
      <c r="H17" s="67" t="n">
        <f aca="false">IF(G17&lt;750,1.5,IF(G17&lt;2000,2,3))</f>
        <v>3</v>
      </c>
      <c r="I17" s="67" t="n">
        <f aca="false">$I$6*H17</f>
        <v>3.6</v>
      </c>
      <c r="J17" s="67" t="str">
        <f aca="false">VLOOKUP($B17,Unidades!$D$7:$N$32,10,FALSE())</f>
        <v>NÃO</v>
      </c>
      <c r="K17" s="67" t="str">
        <f aca="false">VLOOKUP($B17,Unidades!$D$7:$N$32,11,FALSE())</f>
        <v>SIM</v>
      </c>
      <c r="L17" s="67" t="n">
        <f aca="false">$L$6*H17+(IF(J17="SIM",$J$6,0))</f>
        <v>3.3</v>
      </c>
      <c r="M17" s="67" t="n">
        <f aca="false">$M$6*H17+(IF(J17="SIM",$J$6,0))+(IF(K17="SIM",$K$6,0))</f>
        <v>7.3</v>
      </c>
      <c r="N17" s="67" t="n">
        <f aca="false">H17*12+I17*4+L17*2+M17</f>
        <v>64.3</v>
      </c>
      <c r="O17" s="68" t="n">
        <f aca="false">IF(K17="não", N17*(C$23+D$23),N17*(C$23+D$23)+(M17*+E$23))</f>
        <v>3932.907</v>
      </c>
      <c r="P17" s="69"/>
      <c r="Q17" s="22" t="str">
        <f aca="false">B17</f>
        <v>GEX/APS CRICIÚMA</v>
      </c>
      <c r="R17" s="24" t="n">
        <f aca="false">H17*($C$23+$D$23)</f>
        <v>169.5</v>
      </c>
      <c r="S17" s="24" t="n">
        <f aca="false">I17*($C$23+$D$23)</f>
        <v>203.4</v>
      </c>
      <c r="T17" s="24" t="n">
        <f aca="false">L17*($C$23+$D$23)</f>
        <v>186.45</v>
      </c>
      <c r="U17" s="24" t="n">
        <f aca="false">IF(K17="não",M17*($C$23+$D$23),M17*(C$23+D$23+E$23))</f>
        <v>712.407</v>
      </c>
      <c r="V17" s="24" t="n">
        <f aca="false">VLOOKUP(Q17,'Desl. Base Criciúma'!$C$5:$S$17,13,FALSE())*($C$23+$D$23+$E$23*(VLOOKUP(Q17,'Desl. Base Criciúma'!$C$5:$S$17,17,FALSE())/12))</f>
        <v>10.9860972222222</v>
      </c>
      <c r="W17" s="24" t="n">
        <f aca="false">VLOOKUP(Q17,'Desl. Base Criciúma'!$C$5:$S$17,15,FALSE())*(2+(VLOOKUP(Q17,'Desl. Base Criciúma'!$C$5:$S$17,17,FALSE())/12))</f>
        <v>0</v>
      </c>
      <c r="X17" s="24" t="n">
        <f aca="false">VLOOKUP(Q17,'Desl. Base Criciúma'!$C$5:$Q$17,14,FALSE())</f>
        <v>0</v>
      </c>
      <c r="Y17" s="24" t="n">
        <f aca="false">VLOOKUP(Q17,'Desl. Base Criciúma'!$C$5:Q$17,13,FALSE())*'Desl. Base Criciúma'!$E$22+'Desl. Base Criciúma'!$E$23*N17/12</f>
        <v>46.7774166666667</v>
      </c>
      <c r="Z17" s="24" t="n">
        <f aca="false">(H17/$AC$5)*'Equipe Técnica'!$C$13</f>
        <v>482.108351119386</v>
      </c>
      <c r="AA17" s="24" t="n">
        <f aca="false">(I17/$AC$5)*'Equipe Técnica'!$C$13</f>
        <v>578.530021343263</v>
      </c>
      <c r="AB17" s="24" t="n">
        <f aca="false">(L17/$AC$5)*'Equipe Técnica'!$C$13</f>
        <v>530.319186231325</v>
      </c>
      <c r="AC17" s="24" t="n">
        <f aca="false">(M17/$AC$5)*'Equipe Técnica'!$C$13</f>
        <v>1173.13032105717</v>
      </c>
      <c r="AD17" s="24" t="n">
        <f aca="false">R17+(($V17+$W17+$X17+$Y17)*12/19)+$Z17</f>
        <v>688.090570417632</v>
      </c>
      <c r="AE17" s="24" t="n">
        <f aca="false">S17+(($V17+$W17+$X17+$Y17)*12/19)+$AA17</f>
        <v>818.412240641509</v>
      </c>
      <c r="AF17" s="24" t="n">
        <f aca="false">T17+(($V17+$W17+$X17+$Y17)*12/19)+$AB17</f>
        <v>753.25140552957</v>
      </c>
      <c r="AG17" s="24" t="n">
        <f aca="false">U17+(($V17+$W17+$X17+$Y17)*12/19)+$AC17</f>
        <v>1922.01954035542</v>
      </c>
      <c r="AH17" s="154"/>
      <c r="AI17" s="22" t="str">
        <f aca="false">B17</f>
        <v>GEX/APS CRICIÚMA</v>
      </c>
      <c r="AJ17" s="70" t="n">
        <f aca="false">VLOOKUP(AI17,Unidades!D$7:H$32,5,)</f>
        <v>0.2487</v>
      </c>
      <c r="AK17" s="50" t="n">
        <f aca="false">AD17*(1+$AJ17)</f>
        <v>859.218695280497</v>
      </c>
      <c r="AL17" s="50" t="n">
        <f aca="false">AE17*(1+$AJ17)</f>
        <v>1021.95136488905</v>
      </c>
      <c r="AM17" s="50" t="n">
        <f aca="false">AF17*(1+$AJ17)</f>
        <v>940.585030084774</v>
      </c>
      <c r="AN17" s="50" t="n">
        <f aca="false">AG17*(1+$AJ17)</f>
        <v>2400.02580004181</v>
      </c>
      <c r="AO17" s="50" t="n">
        <f aca="false">((AK17*12)+(AL17*4)+(AM17*2)+AN17)/12</f>
        <v>1556.63547192779</v>
      </c>
      <c r="AP17" s="50" t="n">
        <f aca="false">AO17*3</f>
        <v>4669.90641578338</v>
      </c>
      <c r="AQ17" s="50" t="n">
        <f aca="false">AO17+AP17</f>
        <v>6226.54188771118</v>
      </c>
      <c r="AR17" s="71"/>
      <c r="AS17" s="71"/>
      <c r="AT17" s="71"/>
      <c r="AU17" s="71"/>
      <c r="AV17" s="71"/>
      <c r="AW17" s="71"/>
    </row>
    <row r="18" customFormat="false" ht="15" hidden="false" customHeight="true" outlineLevel="0" collapsed="false">
      <c r="B18" s="153" t="s">
        <v>153</v>
      </c>
      <c r="C18" s="66" t="n">
        <f aca="false">VLOOKUP($B18,Unidades!$D$5:$N$32,6,FALSE())</f>
        <v>460.62</v>
      </c>
      <c r="D18" s="66" t="n">
        <f aca="false">VLOOKUP($B18,Unidades!$D$5:$N$32,7,FALSE())</f>
        <v>386.62</v>
      </c>
      <c r="E18" s="66" t="n">
        <f aca="false">VLOOKUP($B18,Unidades!$D$5:$N$32,8,FALSE())</f>
        <v>74</v>
      </c>
      <c r="F18" s="66" t="n">
        <f aca="false">VLOOKUP($B18,Unidades!$D$5:$N$32,9,FALSE())</f>
        <v>0</v>
      </c>
      <c r="G18" s="66" t="n">
        <f aca="false">D18+$E$6*E18+$F$6*F18</f>
        <v>412.52</v>
      </c>
      <c r="H18" s="67" t="n">
        <f aca="false">IF(G18&lt;750,1.5,IF(G18&lt;2000,2,3))</f>
        <v>1.5</v>
      </c>
      <c r="I18" s="67" t="n">
        <f aca="false">$I$6*H18</f>
        <v>1.8</v>
      </c>
      <c r="J18" s="67" t="str">
        <f aca="false">VLOOKUP($B18,Unidades!$D$7:$N$32,10,FALSE())</f>
        <v>NÃO</v>
      </c>
      <c r="K18" s="67" t="str">
        <f aca="false">VLOOKUP($B18,Unidades!$D$7:$N$32,11,FALSE())</f>
        <v>NÃO</v>
      </c>
      <c r="L18" s="67" t="n">
        <f aca="false">$L$6*H18+(IF(J18="SIM",$J$6,0))</f>
        <v>1.65</v>
      </c>
      <c r="M18" s="67" t="n">
        <f aca="false">$M$6*H18+(IF(J18="SIM",$J$6,0))+(IF(K18="SIM",$K$6,0))</f>
        <v>1.65</v>
      </c>
      <c r="N18" s="67" t="n">
        <f aca="false">H18*12+I18*4+L18*2+M18</f>
        <v>30.15</v>
      </c>
      <c r="O18" s="68" t="n">
        <f aca="false">IF(K18="não", N18*(C$23+D$23),N18*(C$23+D$23)+(M18*+E$23))</f>
        <v>1703.475</v>
      </c>
      <c r="P18" s="69"/>
      <c r="Q18" s="22" t="str">
        <f aca="false">B18</f>
        <v>APS IMBITUBA</v>
      </c>
      <c r="R18" s="24" t="n">
        <f aca="false">H18*($C$23+$D$23)</f>
        <v>84.75</v>
      </c>
      <c r="S18" s="24" t="n">
        <f aca="false">I18*($C$23+$D$23)</f>
        <v>101.7</v>
      </c>
      <c r="T18" s="24" t="n">
        <f aca="false">L18*($C$23+$D$23)</f>
        <v>93.225</v>
      </c>
      <c r="U18" s="24" t="n">
        <f aca="false">IF(K18="não",M18*($C$23+$D$23),M18*(C$23+D$23+E$23))</f>
        <v>93.225</v>
      </c>
      <c r="V18" s="24" t="n">
        <f aca="false">VLOOKUP(Q18,'Desl. Base Criciúma'!$C$5:$S$17,13,FALSE())*($C$23+$D$23+$E$23*(VLOOKUP(Q18,'Desl. Base Criciúma'!$C$5:$S$17,17,FALSE())/12))</f>
        <v>89.9291666666667</v>
      </c>
      <c r="W18" s="24" t="n">
        <f aca="false">VLOOKUP(Q18,'Desl. Base Criciúma'!$C$5:$S$17,15,FALSE())*(2+(VLOOKUP(Q18,'Desl. Base Criciúma'!$C$5:$S$17,17,FALSE())/12))</f>
        <v>0</v>
      </c>
      <c r="X18" s="24" t="n">
        <f aca="false">VLOOKUP(Q18,'Desl. Base Criciúma'!$C$5:$Q$17,14,FALSE())</f>
        <v>5</v>
      </c>
      <c r="Y18" s="24" t="n">
        <f aca="false">VLOOKUP(Q18,'Desl. Base Criciúma'!$C$5:Q$17,13,FALSE())*'Desl. Base Criciúma'!$E$22+'Desl. Base Criciúma'!$E$23*N18/12</f>
        <v>100.260375</v>
      </c>
      <c r="Z18" s="24" t="n">
        <f aca="false">(H18/$AC$5)*'Equipe Técnica'!$C$13</f>
        <v>241.054175559693</v>
      </c>
      <c r="AA18" s="24" t="n">
        <f aca="false">(I18/$AC$5)*'Equipe Técnica'!$C$13</f>
        <v>289.265010671632</v>
      </c>
      <c r="AB18" s="24" t="n">
        <f aca="false">(L18/$AC$5)*'Equipe Técnica'!$C$13</f>
        <v>265.159593115662</v>
      </c>
      <c r="AC18" s="24" t="n">
        <f aca="false">(M18/$AC$5)*'Equipe Técnica'!$C$13</f>
        <v>265.159593115662</v>
      </c>
      <c r="AD18" s="24" t="n">
        <f aca="false">R18+(($V18+$W18+$X18+$Y18)*12/19)+$Z18</f>
        <v>449.081780822851</v>
      </c>
      <c r="AE18" s="24" t="n">
        <f aca="false">S18+(($V18+$W18+$X18+$Y18)*12/19)+$AA18</f>
        <v>514.24261593479</v>
      </c>
      <c r="AF18" s="24" t="n">
        <f aca="false">T18+(($V18+$W18+$X18+$Y18)*12/19)+$AB18</f>
        <v>481.66219837882</v>
      </c>
      <c r="AG18" s="24" t="n">
        <f aca="false">U18+(($V18+$W18+$X18+$Y18)*12/19)+$AC18</f>
        <v>481.66219837882</v>
      </c>
      <c r="AH18" s="154"/>
      <c r="AI18" s="22" t="str">
        <f aca="false">B18</f>
        <v>APS IMBITUBA</v>
      </c>
      <c r="AJ18" s="70" t="n">
        <f aca="false">VLOOKUP(AI18,Unidades!D$7:H$32,5,)</f>
        <v>0.2624</v>
      </c>
      <c r="AK18" s="50" t="n">
        <f aca="false">AD18*(1+$AJ18)</f>
        <v>566.920840110767</v>
      </c>
      <c r="AL18" s="50" t="n">
        <f aca="false">AE18*(1+$AJ18)</f>
        <v>649.179878356078</v>
      </c>
      <c r="AM18" s="50" t="n">
        <f aca="false">AF18*(1+$AJ18)</f>
        <v>608.050359233423</v>
      </c>
      <c r="AN18" s="50" t="n">
        <f aca="false">AG18*(1+$AJ18)</f>
        <v>608.050359233423</v>
      </c>
      <c r="AO18" s="50" t="n">
        <f aca="false">((AK18*12)+(AL18*4)+(AM18*2)+AN18)/12</f>
        <v>935.326722704482</v>
      </c>
      <c r="AP18" s="50" t="n">
        <f aca="false">AO18*3</f>
        <v>2805.98016811345</v>
      </c>
      <c r="AQ18" s="50" t="n">
        <f aca="false">AO18+AP18</f>
        <v>3741.30689081793</v>
      </c>
      <c r="AR18" s="71"/>
      <c r="AS18" s="71"/>
      <c r="AT18" s="71"/>
      <c r="AU18" s="71"/>
      <c r="AV18" s="71"/>
      <c r="AW18" s="71"/>
    </row>
    <row r="19" customFormat="false" ht="15" hidden="false" customHeight="true" outlineLevel="0" collapsed="false">
      <c r="B19" s="153" t="s">
        <v>154</v>
      </c>
      <c r="C19" s="66" t="n">
        <f aca="false">VLOOKUP($B19,Unidades!$D$5:$N$32,6,FALSE())</f>
        <v>296.9</v>
      </c>
      <c r="D19" s="66" t="n">
        <f aca="false">VLOOKUP($B19,Unidades!$D$5:$N$32,7,FALSE())</f>
        <v>246.9</v>
      </c>
      <c r="E19" s="66" t="n">
        <f aca="false">VLOOKUP($B19,Unidades!$D$5:$N$32,8,FALSE())</f>
        <v>50</v>
      </c>
      <c r="F19" s="66" t="n">
        <f aca="false">VLOOKUP($B19,Unidades!$D$5:$N$32,9,FALSE())</f>
        <v>0</v>
      </c>
      <c r="G19" s="66" t="n">
        <f aca="false">D19+$E$6*E19+$F$6*F19</f>
        <v>264.4</v>
      </c>
      <c r="H19" s="67" t="n">
        <f aca="false">IF(G19&lt;750,1.5,IF(G19&lt;2000,2,3))</f>
        <v>1.5</v>
      </c>
      <c r="I19" s="67" t="n">
        <f aca="false">$I$6*H19</f>
        <v>1.8</v>
      </c>
      <c r="J19" s="67" t="str">
        <f aca="false">VLOOKUP($B19,Unidades!$D$7:$N$32,10,FALSE())</f>
        <v>NÃO</v>
      </c>
      <c r="K19" s="67" t="str">
        <f aca="false">VLOOKUP($B19,Unidades!$D$7:$N$32,11,FALSE())</f>
        <v>NÃO</v>
      </c>
      <c r="L19" s="67" t="n">
        <f aca="false">$L$6*H19+(IF(J19="SIM",$J$6,0))</f>
        <v>1.65</v>
      </c>
      <c r="M19" s="67" t="n">
        <f aca="false">$M$6*H19+(IF(J19="SIM",$J$6,0))+(IF(K19="SIM",$K$6,0))</f>
        <v>1.65</v>
      </c>
      <c r="N19" s="67" t="n">
        <f aca="false">H19*12+I19*4+L19*2+M19</f>
        <v>30.15</v>
      </c>
      <c r="O19" s="68" t="n">
        <f aca="false">IF(K19="não", N19*(C$23+D$23),N19*(C$23+D$23)+(M19*+E$23))</f>
        <v>1703.475</v>
      </c>
      <c r="P19" s="69"/>
      <c r="Q19" s="22" t="str">
        <f aca="false">B19</f>
        <v>APS SÃO JOAQUIM</v>
      </c>
      <c r="R19" s="24" t="n">
        <f aca="false">H19*($C$23+$D$23)</f>
        <v>84.75</v>
      </c>
      <c r="S19" s="24" t="n">
        <f aca="false">I19*($C$23+$D$23)</f>
        <v>101.7</v>
      </c>
      <c r="T19" s="24" t="n">
        <f aca="false">L19*($C$23+$D$23)</f>
        <v>93.225</v>
      </c>
      <c r="U19" s="24" t="n">
        <f aca="false">IF(K19="não",M19*($C$23+$D$23),M19*(C$23+D$23+E$23))</f>
        <v>93.225</v>
      </c>
      <c r="V19" s="24" t="n">
        <f aca="false">VLOOKUP(Q19,'Desl. Base Criciúma'!$C$5:$S$17,13,FALSE())*($C$23+$D$23+$E$23*(VLOOKUP(Q19,'Desl. Base Criciúma'!$C$5:$S$17,17,FALSE())/12))</f>
        <v>264.608333333333</v>
      </c>
      <c r="W19" s="24" t="n">
        <f aca="false">VLOOKUP(Q19,'Desl. Base Criciúma'!$C$5:$S$17,15,FALSE())*(2+(VLOOKUP(Q19,'Desl. Base Criciúma'!$C$5:$S$17,17,FALSE())/12))</f>
        <v>0</v>
      </c>
      <c r="X19" s="24" t="n">
        <f aca="false">VLOOKUP(Q19,'Desl. Base Criciúma'!$C$5:$Q$17,14,FALSE())</f>
        <v>0</v>
      </c>
      <c r="Y19" s="24" t="n">
        <f aca="false">VLOOKUP(Q19,'Desl. Base Criciúma'!$C$5:Q$17,13,FALSE())*'Desl. Base Criciúma'!$E$22+'Desl. Base Criciúma'!$E$23*N19/12</f>
        <v>261.088875</v>
      </c>
      <c r="Z19" s="24" t="n">
        <f aca="false">(H19/$AC$5)*'Equipe Técnica'!$C$13</f>
        <v>241.054175559693</v>
      </c>
      <c r="AA19" s="24" t="n">
        <f aca="false">(I19/$AC$5)*'Equipe Técnica'!$C$13</f>
        <v>289.265010671632</v>
      </c>
      <c r="AB19" s="24" t="n">
        <f aca="false">(L19/$AC$5)*'Equipe Técnica'!$C$13</f>
        <v>265.159593115662</v>
      </c>
      <c r="AC19" s="24" t="n">
        <f aca="false">(M19/$AC$5)*'Equipe Técnica'!$C$13</f>
        <v>265.159593115662</v>
      </c>
      <c r="AD19" s="24" t="n">
        <f aca="false">R19+(($V19+$W19+$X19+$Y19)*12/19)+$Z19</f>
        <v>657.823465033377</v>
      </c>
      <c r="AE19" s="24" t="n">
        <f aca="false">S19+(($V19+$W19+$X19+$Y19)*12/19)+$AA19</f>
        <v>722.984300145316</v>
      </c>
      <c r="AF19" s="24" t="n">
        <f aca="false">T19+(($V19+$W19+$X19+$Y19)*12/19)+$AB19</f>
        <v>690.403882589346</v>
      </c>
      <c r="AG19" s="24" t="n">
        <f aca="false">U19+(($V19+$W19+$X19+$Y19)*12/19)+$AC19</f>
        <v>690.403882589346</v>
      </c>
      <c r="AH19" s="154"/>
      <c r="AI19" s="22" t="str">
        <f aca="false">B19</f>
        <v>APS SÃO JOAQUIM</v>
      </c>
      <c r="AJ19" s="70" t="n">
        <f aca="false">VLOOKUP(AI19,Unidades!D$7:H$32,5,)</f>
        <v>0.2354</v>
      </c>
      <c r="AK19" s="50" t="n">
        <f aca="false">AD19*(1+$AJ19)</f>
        <v>812.675108702234</v>
      </c>
      <c r="AL19" s="50" t="n">
        <f aca="false">AE19*(1+$AJ19)</f>
        <v>893.174804399523</v>
      </c>
      <c r="AM19" s="50" t="n">
        <f aca="false">AF19*(1+$AJ19)</f>
        <v>852.924956550878</v>
      </c>
      <c r="AN19" s="50" t="n">
        <f aca="false">AG19*(1+$AJ19)</f>
        <v>852.924956550878</v>
      </c>
      <c r="AO19" s="50" t="n">
        <f aca="false">((AK19*12)+(AL19*4)+(AM19*2)+AN19)/12</f>
        <v>1323.63128263979</v>
      </c>
      <c r="AP19" s="50" t="n">
        <f aca="false">AO19*3</f>
        <v>3970.89384791938</v>
      </c>
      <c r="AQ19" s="50" t="n">
        <f aca="false">AO19+AP19</f>
        <v>5294.52513055918</v>
      </c>
      <c r="AR19" s="71"/>
      <c r="AS19" s="71"/>
      <c r="AT19" s="71"/>
      <c r="AU19" s="71"/>
      <c r="AV19" s="71"/>
      <c r="AW19" s="71"/>
    </row>
    <row r="20" s="155" customFormat="true" ht="19.5" hidden="false" customHeight="true" outlineLevel="0" collapsed="false">
      <c r="B20" s="9"/>
      <c r="C20" s="75" t="n">
        <f aca="false">SUM(C7:C19)</f>
        <v>14773.32</v>
      </c>
      <c r="D20" s="75" t="n">
        <f aca="false">SUM(D7:D19)</f>
        <v>8380.17</v>
      </c>
      <c r="E20" s="75" t="n">
        <f aca="false">SUM(E7:E19)</f>
        <v>4398.27</v>
      </c>
      <c r="F20" s="75" t="n">
        <f aca="false">SUM(F7:F19)</f>
        <v>1994.88</v>
      </c>
      <c r="G20" s="75" t="n">
        <f aca="false">SUM(G7:G19)</f>
        <v>10119.0525</v>
      </c>
      <c r="H20" s="76" t="n">
        <f aca="false">SUM(H7:H19)</f>
        <v>22.5</v>
      </c>
      <c r="I20" s="76" t="n">
        <f aca="false">SUM(I7:I19)</f>
        <v>27</v>
      </c>
      <c r="J20" s="76" t="n">
        <f aca="false">COUNTIF(J7:J19,"SIM")</f>
        <v>2</v>
      </c>
      <c r="K20" s="76" t="n">
        <f aca="false">COUNTIF(K7:K19,"SIM")</f>
        <v>4</v>
      </c>
      <c r="L20" s="76" t="n">
        <f aca="false">SUM(L7:L19)</f>
        <v>28.75</v>
      </c>
      <c r="M20" s="76" t="n">
        <f aca="false">SUM(M7:M19)</f>
        <v>44.75</v>
      </c>
      <c r="N20" s="76" t="n">
        <f aca="false">SUM(N7:N19)</f>
        <v>480.25</v>
      </c>
      <c r="O20" s="77" t="n">
        <f aca="false">SUM(O7:O19)</f>
        <v>28257.9365</v>
      </c>
      <c r="P20" s="156"/>
      <c r="Q20" s="157" t="s">
        <v>102</v>
      </c>
      <c r="R20" s="79" t="n">
        <f aca="false">SUM(R7:R19)</f>
        <v>1271.25</v>
      </c>
      <c r="S20" s="79" t="n">
        <f aca="false">SUM(S7:S19)</f>
        <v>1525.5</v>
      </c>
      <c r="T20" s="79" t="n">
        <f aca="false">SUM(T7:T19)</f>
        <v>1624.375</v>
      </c>
      <c r="U20" s="79" t="n">
        <f aca="false">SUM(U7:U19)</f>
        <v>3652.1865</v>
      </c>
      <c r="V20" s="79" t="n">
        <f aca="false">SUM(V7:V19)</f>
        <v>907.994444444444</v>
      </c>
      <c r="W20" s="79" t="n">
        <f aca="false">SUM(W7:W19)</f>
        <v>0</v>
      </c>
      <c r="X20" s="79" t="n">
        <f aca="false">SUM(X7:X19)</f>
        <v>20</v>
      </c>
      <c r="Y20" s="79" t="n">
        <f aca="false">SUM(Y7:Y19)</f>
        <v>1093.12479166667</v>
      </c>
      <c r="Z20" s="79" t="n">
        <f aca="false">SUM(Z7:Z19)</f>
        <v>3615.8126333954</v>
      </c>
      <c r="AA20" s="79" t="n">
        <f aca="false">SUM(AA7:AA19)</f>
        <v>4338.97516007447</v>
      </c>
      <c r="AB20" s="79" t="n">
        <f aca="false">SUM(AB7:AB19)</f>
        <v>4620.20503156078</v>
      </c>
      <c r="AC20" s="79" t="n">
        <f aca="false">SUM(AC7:AC19)</f>
        <v>7191.44957086418</v>
      </c>
      <c r="AD20" s="79" t="n">
        <f aca="false">SUM(AD7:AD19)</f>
        <v>6163.55899304452</v>
      </c>
      <c r="AE20" s="79" t="n">
        <f aca="false">SUM(AE7:AE19)</f>
        <v>7140.9715197236</v>
      </c>
      <c r="AF20" s="79" t="n">
        <f aca="false">SUM(AF7:AF19)</f>
        <v>7521.07639120991</v>
      </c>
      <c r="AG20" s="79" t="n">
        <f aca="false">SUM(AG7:AG19)</f>
        <v>12120.1324305133</v>
      </c>
      <c r="AH20" s="39"/>
      <c r="AI20" s="76" t="s">
        <v>102</v>
      </c>
      <c r="AJ20" s="76"/>
      <c r="AK20" s="80" t="n">
        <f aca="false">SUM(AK7:AK19)</f>
        <v>7667.94738533474</v>
      </c>
      <c r="AL20" s="80" t="n">
        <f aca="false">SUM(AL7:AL19)</f>
        <v>8884.20478108879</v>
      </c>
      <c r="AM20" s="80" t="n">
        <f aca="false">SUM(AM7:AM19)</f>
        <v>9355.18295322221</v>
      </c>
      <c r="AN20" s="80" t="n">
        <f aca="false">SUM(AN7:AN19)</f>
        <v>15052.3255408478</v>
      </c>
      <c r="AO20" s="80" t="n">
        <f aca="false">SUM(AO7:AO19)</f>
        <v>13442.9065996387</v>
      </c>
      <c r="AP20" s="80" t="n">
        <f aca="false">SUM(AP7:AP19)</f>
        <v>40328.7197989161</v>
      </c>
      <c r="AQ20" s="80" t="n">
        <f aca="false">SUM(AQ7:AQ19)</f>
        <v>53771.6263985547</v>
      </c>
      <c r="AR20" s="71"/>
      <c r="AS20" s="71"/>
      <c r="AT20" s="71"/>
      <c r="AU20" s="71"/>
      <c r="AV20" s="71"/>
      <c r="AW20" s="71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</row>
    <row r="21" customFormat="false" ht="18" hidden="false" customHeight="true" outlineLevel="0" collapsed="false">
      <c r="B21" s="2"/>
      <c r="C21" s="2"/>
      <c r="D21" s="2"/>
      <c r="E21" s="2"/>
      <c r="F21" s="2"/>
      <c r="G21" s="2"/>
      <c r="H21" s="81"/>
      <c r="I21" s="2"/>
      <c r="J21" s="2"/>
      <c r="O21" s="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D21" s="58"/>
      <c r="AE21" s="58"/>
      <c r="AF21" s="58"/>
      <c r="AG21" s="58"/>
      <c r="AH21" s="58"/>
      <c r="AS21" s="158"/>
      <c r="AT21" s="158"/>
      <c r="AU21" s="158"/>
      <c r="AV21" s="158"/>
      <c r="AW21" s="158"/>
    </row>
    <row r="22" customFormat="false" ht="39.75" hidden="false" customHeight="true" outlineLevel="0" collapsed="false">
      <c r="B22" s="49" t="s">
        <v>30</v>
      </c>
      <c r="C22" s="83" t="str">
        <f aca="false">'Base Florianópolis'!C24</f>
        <v>Oficial de Manutenção Predial</v>
      </c>
      <c r="D22" s="83" t="str">
        <f aca="false">'Base Florianópolis'!D24</f>
        <v>Ajudante (ref. SINAPI/88241)</v>
      </c>
      <c r="E22" s="159" t="str">
        <f aca="false">'Base Florianópolis'!E24</f>
        <v>Eletrotécnico (ref. SINAPI/88266)</v>
      </c>
      <c r="N22" s="160"/>
      <c r="O22" s="161"/>
      <c r="R22" s="84"/>
      <c r="V22" s="161"/>
      <c r="Z22" s="84"/>
      <c r="AA22" s="84"/>
      <c r="AB22" s="84"/>
      <c r="AC22" s="84"/>
    </row>
    <row r="23" customFormat="false" ht="18" hidden="false" customHeight="true" outlineLevel="0" collapsed="false">
      <c r="B23" s="49"/>
      <c r="C23" s="24" t="n">
        <f aca="false">'Base Florianópolis'!C25</f>
        <v>32.38</v>
      </c>
      <c r="D23" s="24" t="n">
        <f aca="false">'Base Florianópolis'!D25</f>
        <v>24.12</v>
      </c>
      <c r="E23" s="24" t="n">
        <f aca="false">'Base Florianópolis'!E25</f>
        <v>41.09</v>
      </c>
      <c r="N23" s="160"/>
      <c r="O23" s="161"/>
    </row>
    <row r="24" customFormat="false" ht="40.5" hidden="false" customHeight="true" outlineLevel="0" collapsed="false">
      <c r="B24" s="53" t="str">
        <f aca="false">'Base Florianópolis'!B26</f>
        <v>* Tabela SINAPI Outubro2023 (Não Desonerado)</v>
      </c>
      <c r="N24" s="161"/>
      <c r="O24" s="161"/>
    </row>
    <row r="25" customFormat="false" ht="14.25" hidden="false" customHeight="false" outlineLevel="0" collapsed="false">
      <c r="N25" s="161"/>
      <c r="O25" s="161"/>
    </row>
    <row r="26" customFormat="false" ht="14.25" hidden="false" customHeight="false" outlineLevel="0" collapsed="false">
      <c r="N26" s="161"/>
      <c r="O26" s="161"/>
    </row>
    <row r="27" customFormat="false" ht="15.75" hidden="false" customHeight="true" outlineLevel="0" collapsed="false">
      <c r="N27" s="161"/>
      <c r="O27" s="161"/>
    </row>
    <row r="28" customFormat="false" ht="14.25" hidden="false" customHeight="false" outlineLevel="0" collapsed="false">
      <c r="N28" s="161"/>
      <c r="O28" s="161"/>
    </row>
    <row r="29" customFormat="false" ht="14.25" hidden="false" customHeight="false" outlineLevel="0" collapsed="false">
      <c r="N29" s="161"/>
      <c r="O29" s="161"/>
    </row>
    <row r="30" customFormat="false" ht="14.25" hidden="false" customHeight="false" outlineLevel="0" collapsed="false">
      <c r="N30" s="161"/>
      <c r="O30" s="161"/>
    </row>
    <row r="31" customFormat="false" ht="14.25" hidden="false" customHeight="false" outlineLevel="0" collapsed="false">
      <c r="N31" s="161"/>
      <c r="O31" s="161"/>
    </row>
    <row r="32" customFormat="false" ht="14.25" hidden="false" customHeight="false" outlineLevel="0" collapsed="false">
      <c r="N32" s="161"/>
      <c r="O32" s="161"/>
    </row>
    <row r="65530" customFormat="false" ht="12.75" hidden="false" customHeight="true" outlineLevel="0" collapsed="false"/>
    <row r="65531" customFormat="false" ht="12.75" hidden="false" customHeight="true" outlineLevel="0" collapsed="false"/>
    <row r="65532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0:AJ20"/>
    <mergeCell ref="B22:B23"/>
    <mergeCell ref="N22:N23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62"/>
  <sheetViews>
    <sheetView showFormulas="false" showGridLines="false" showRowColHeaders="true" showZeros="true" rightToLeft="false" tabSelected="false" showOutlineSymbols="true" defaultGridColor="true" view="normal" topLeftCell="F1" colorId="64" zoomScale="90" zoomScaleNormal="90" zoomScalePageLayoutView="100" workbookViewId="0">
      <selection pane="topLeft" activeCell="R5" activeCellId="0" sqref="R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6" width="12.62"/>
    <col collapsed="false" customWidth="true" hidden="false" outlineLevel="0" max="3" min="3" style="86" width="32.62"/>
    <col collapsed="false" customWidth="true" hidden="false" outlineLevel="0" max="17" min="4" style="86" width="9.62"/>
    <col collapsed="false" customWidth="true" hidden="false" outlineLevel="0" max="66" min="18" style="86" width="10.75"/>
    <col collapsed="false" customWidth="true" hidden="false" outlineLevel="0" max="257" min="67" style="85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"&amp;Resumo!B6</f>
        <v>DESLOCAMENTO BASE CRICIÚMA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customFormat="false" ht="56.65" hidden="false" customHeight="false" outlineLevel="0" collapsed="false">
      <c r="B4" s="21" t="s">
        <v>107</v>
      </c>
      <c r="C4" s="21" t="str">
        <f aca="false">"Rota (saída e retorno "&amp;Resumo!B6&amp;")"</f>
        <v>Rota (saída e retorno CRICIÚMA)</v>
      </c>
      <c r="D4" s="21" t="s">
        <v>108</v>
      </c>
      <c r="E4" s="21" t="s">
        <v>109</v>
      </c>
      <c r="F4" s="21" t="s">
        <v>110</v>
      </c>
      <c r="G4" s="21" t="s">
        <v>111</v>
      </c>
      <c r="H4" s="21" t="s">
        <v>112</v>
      </c>
      <c r="I4" s="21" t="s">
        <v>113</v>
      </c>
      <c r="J4" s="21" t="s">
        <v>114</v>
      </c>
      <c r="K4" s="21" t="s">
        <v>115</v>
      </c>
      <c r="L4" s="21" t="s">
        <v>116</v>
      </c>
      <c r="M4" s="88" t="s">
        <v>155</v>
      </c>
      <c r="N4" s="21" t="s">
        <v>118</v>
      </c>
      <c r="O4" s="21" t="s">
        <v>119</v>
      </c>
      <c r="P4" s="21" t="s">
        <v>120</v>
      </c>
      <c r="Q4" s="21" t="s">
        <v>67</v>
      </c>
      <c r="R4" s="32" t="s">
        <v>121</v>
      </c>
      <c r="S4" s="32" t="s">
        <v>122</v>
      </c>
    </row>
    <row r="5" customFormat="false" ht="15.75" hidden="false" customHeight="true" outlineLevel="0" collapsed="false">
      <c r="B5" s="52" t="n">
        <v>1</v>
      </c>
      <c r="C5" s="162" t="s">
        <v>152</v>
      </c>
      <c r="D5" s="163" t="n">
        <v>10.3</v>
      </c>
      <c r="E5" s="163" t="n">
        <v>6.1</v>
      </c>
      <c r="F5" s="163" t="n">
        <v>0</v>
      </c>
      <c r="G5" s="94" t="n">
        <f aca="false">SUM(D5:F5)</f>
        <v>16.4</v>
      </c>
      <c r="H5" s="163" t="n">
        <v>12</v>
      </c>
      <c r="I5" s="163" t="n">
        <v>10</v>
      </c>
      <c r="J5" s="163" t="n">
        <v>0</v>
      </c>
      <c r="K5" s="94" t="n">
        <f aca="false">SUM(H5:J5)</f>
        <v>22</v>
      </c>
      <c r="L5" s="94" t="n">
        <f aca="false">K5/60</f>
        <v>0.366666666666667</v>
      </c>
      <c r="M5" s="100" t="n">
        <v>0</v>
      </c>
      <c r="N5" s="93" t="n">
        <v>2</v>
      </c>
      <c r="O5" s="164" t="n">
        <f aca="false">L5/N5</f>
        <v>0.183333333333333</v>
      </c>
      <c r="P5" s="99" t="n">
        <f aca="false">M5/N5</f>
        <v>0</v>
      </c>
      <c r="Q5" s="99" t="n">
        <v>0</v>
      </c>
      <c r="R5" s="100" t="str">
        <f aca="false">INDEX('Base Criciúma'!$K$7:$K$19,MATCH(C5,'Base Criciúma'!$B$7:$B$19,0))</f>
        <v>SIM</v>
      </c>
      <c r="S5" s="101" t="n">
        <v>1</v>
      </c>
    </row>
    <row r="6" customFormat="false" ht="15.75" hidden="false" customHeight="true" outlineLevel="0" collapsed="false">
      <c r="B6" s="52"/>
      <c r="C6" s="162" t="s">
        <v>151</v>
      </c>
      <c r="D6" s="163"/>
      <c r="E6" s="163"/>
      <c r="F6" s="163"/>
      <c r="G6" s="94"/>
      <c r="H6" s="163"/>
      <c r="I6" s="163"/>
      <c r="J6" s="163"/>
      <c r="K6" s="94"/>
      <c r="L6" s="94"/>
      <c r="M6" s="100"/>
      <c r="N6" s="93"/>
      <c r="O6" s="165" t="n">
        <f aca="false">O5</f>
        <v>0.183333333333333</v>
      </c>
      <c r="P6" s="109" t="n">
        <f aca="false">P5</f>
        <v>0</v>
      </c>
      <c r="Q6" s="109" t="n">
        <f aca="false">Q5</f>
        <v>0</v>
      </c>
      <c r="R6" s="100" t="str">
        <f aca="false">INDEX('Base Criciúma'!$K$7:$K$19,MATCH(C6,'Base Criciúma'!$B$7:$B$19,0))</f>
        <v>NÃO</v>
      </c>
      <c r="S6" s="101" t="n">
        <v>1</v>
      </c>
    </row>
    <row r="7" customFormat="false" ht="15.75" hidden="false" customHeight="true" outlineLevel="0" collapsed="false">
      <c r="B7" s="52" t="n">
        <v>2</v>
      </c>
      <c r="C7" s="162" t="s">
        <v>142</v>
      </c>
      <c r="D7" s="163" t="n">
        <v>41.5</v>
      </c>
      <c r="E7" s="163" t="n">
        <v>32.6</v>
      </c>
      <c r="F7" s="163" t="n">
        <v>68</v>
      </c>
      <c r="G7" s="94" t="n">
        <f aca="false">SUM(D7:F7)</f>
        <v>142.1</v>
      </c>
      <c r="H7" s="163" t="n">
        <v>37</v>
      </c>
      <c r="I7" s="163" t="n">
        <v>29</v>
      </c>
      <c r="J7" s="163" t="n">
        <v>53</v>
      </c>
      <c r="K7" s="94" t="n">
        <f aca="false">SUM(H7:J7)</f>
        <v>119</v>
      </c>
      <c r="L7" s="94" t="n">
        <f aca="false">K7/60</f>
        <v>1.98333333333333</v>
      </c>
      <c r="M7" s="100" t="n">
        <v>5</v>
      </c>
      <c r="N7" s="93" t="n">
        <v>2</v>
      </c>
      <c r="O7" s="164" t="n">
        <f aca="false">L7/N7</f>
        <v>0.991666666666667</v>
      </c>
      <c r="P7" s="99" t="n">
        <f aca="false">M7/N7</f>
        <v>2.5</v>
      </c>
      <c r="Q7" s="99" t="n">
        <v>0</v>
      </c>
      <c r="R7" s="100" t="str">
        <f aca="false">INDEX('Base Criciúma'!$K$7:$K$19,MATCH(C7,'Base Criciúma'!$B$7:$B$19,0))</f>
        <v>SIM</v>
      </c>
      <c r="S7" s="101" t="n">
        <v>1</v>
      </c>
    </row>
    <row r="8" customFormat="false" ht="15.75" hidden="false" customHeight="true" outlineLevel="0" collapsed="false">
      <c r="B8" s="52"/>
      <c r="C8" s="162" t="s">
        <v>148</v>
      </c>
      <c r="D8" s="163"/>
      <c r="E8" s="163"/>
      <c r="F8" s="163"/>
      <c r="G8" s="94"/>
      <c r="H8" s="163"/>
      <c r="I8" s="163"/>
      <c r="J8" s="163"/>
      <c r="K8" s="94"/>
      <c r="L8" s="94"/>
      <c r="M8" s="100"/>
      <c r="N8" s="93"/>
      <c r="O8" s="165" t="n">
        <f aca="false">O7</f>
        <v>0.991666666666667</v>
      </c>
      <c r="P8" s="109" t="n">
        <f aca="false">P7</f>
        <v>2.5</v>
      </c>
      <c r="Q8" s="109" t="n">
        <f aca="false">Q7</f>
        <v>0</v>
      </c>
      <c r="R8" s="100" t="str">
        <f aca="false">INDEX('Base Criciúma'!$K$7:$K$19,MATCH(C8,'Base Criciúma'!$B$7:$B$19,0))</f>
        <v>NÃO</v>
      </c>
      <c r="S8" s="101" t="n">
        <v>1</v>
      </c>
    </row>
    <row r="9" customFormat="false" ht="15.75" hidden="false" customHeight="true" outlineLevel="0" collapsed="false">
      <c r="B9" s="52" t="n">
        <v>3</v>
      </c>
      <c r="C9" s="162" t="s">
        <v>146</v>
      </c>
      <c r="D9" s="163" t="n">
        <v>10.5</v>
      </c>
      <c r="E9" s="163" t="n">
        <v>20.7</v>
      </c>
      <c r="F9" s="163" t="n">
        <v>16.4</v>
      </c>
      <c r="G9" s="94" t="n">
        <f aca="false">SUM(D9:F9)</f>
        <v>47.6</v>
      </c>
      <c r="H9" s="163" t="n">
        <v>17</v>
      </c>
      <c r="I9" s="163" t="n">
        <v>27</v>
      </c>
      <c r="J9" s="163" t="n">
        <v>24</v>
      </c>
      <c r="K9" s="94" t="n">
        <f aca="false">SUM(H9:J9)</f>
        <v>68</v>
      </c>
      <c r="L9" s="94" t="n">
        <f aca="false">K9/60</f>
        <v>1.13333333333333</v>
      </c>
      <c r="M9" s="100" t="n">
        <v>0</v>
      </c>
      <c r="N9" s="93" t="n">
        <v>2</v>
      </c>
      <c r="O9" s="164" t="n">
        <f aca="false">L9/N9</f>
        <v>0.566666666666667</v>
      </c>
      <c r="P9" s="99" t="n">
        <f aca="false">M9/N9</f>
        <v>0</v>
      </c>
      <c r="Q9" s="99" t="n">
        <v>0</v>
      </c>
      <c r="R9" s="100" t="str">
        <f aca="false">INDEX('Base Criciúma'!$K$7:$K$19,MATCH(C9,'Base Criciúma'!$B$7:$B$19,0))</f>
        <v>NÃO</v>
      </c>
      <c r="S9" s="101" t="n">
        <v>0</v>
      </c>
    </row>
    <row r="10" customFormat="false" ht="15.75" hidden="false" customHeight="true" outlineLevel="0" collapsed="false">
      <c r="B10" s="52"/>
      <c r="C10" s="162" t="s">
        <v>145</v>
      </c>
      <c r="D10" s="163"/>
      <c r="E10" s="163"/>
      <c r="F10" s="163"/>
      <c r="G10" s="94"/>
      <c r="H10" s="163"/>
      <c r="I10" s="163"/>
      <c r="J10" s="163"/>
      <c r="K10" s="94"/>
      <c r="L10" s="94"/>
      <c r="M10" s="100" t="n">
        <v>0</v>
      </c>
      <c r="N10" s="93"/>
      <c r="O10" s="165" t="n">
        <f aca="false">O9</f>
        <v>0.566666666666667</v>
      </c>
      <c r="P10" s="109" t="n">
        <f aca="false">P9</f>
        <v>0</v>
      </c>
      <c r="Q10" s="109" t="n">
        <f aca="false">Q9</f>
        <v>0</v>
      </c>
      <c r="R10" s="100" t="str">
        <f aca="false">INDEX('Base Criciúma'!$K$7:$K$19,MATCH(C10,'Base Criciúma'!$B$7:$B$19,0))</f>
        <v>NÃO</v>
      </c>
      <c r="S10" s="101" t="n">
        <v>0</v>
      </c>
    </row>
    <row r="11" customFormat="false" ht="15.75" hidden="false" customHeight="true" outlineLevel="0" collapsed="false">
      <c r="B11" s="52" t="n">
        <v>4</v>
      </c>
      <c r="C11" s="162" t="s">
        <v>150</v>
      </c>
      <c r="D11" s="163" t="n">
        <v>19.9</v>
      </c>
      <c r="E11" s="163" t="n">
        <v>41.4</v>
      </c>
      <c r="F11" s="163" t="n">
        <v>61.5</v>
      </c>
      <c r="G11" s="94" t="n">
        <f aca="false">SUM(D11:F11)</f>
        <v>122.8</v>
      </c>
      <c r="H11" s="163" t="n">
        <v>24</v>
      </c>
      <c r="I11" s="163" t="n">
        <v>45</v>
      </c>
      <c r="J11" s="163" t="n">
        <v>72</v>
      </c>
      <c r="K11" s="94" t="n">
        <f aca="false">SUM(H11:J11)</f>
        <v>141</v>
      </c>
      <c r="L11" s="94" t="n">
        <f aca="false">K11/60</f>
        <v>2.35</v>
      </c>
      <c r="M11" s="100" t="n">
        <v>0</v>
      </c>
      <c r="N11" s="93" t="n">
        <v>2</v>
      </c>
      <c r="O11" s="164" t="n">
        <f aca="false">L11/N11</f>
        <v>1.175</v>
      </c>
      <c r="P11" s="99" t="n">
        <f aca="false">M11/N11</f>
        <v>0</v>
      </c>
      <c r="Q11" s="99" t="n">
        <v>0</v>
      </c>
      <c r="R11" s="100" t="str">
        <f aca="false">INDEX('Base Criciúma'!$K$7:$K$19,MATCH(C11,'Base Criciúma'!$B$7:$B$19,0))</f>
        <v>NÃO</v>
      </c>
      <c r="S11" s="101" t="n">
        <v>1</v>
      </c>
    </row>
    <row r="12" customFormat="false" ht="15.75" hidden="false" customHeight="true" outlineLevel="0" collapsed="false">
      <c r="B12" s="52"/>
      <c r="C12" s="162" t="s">
        <v>143</v>
      </c>
      <c r="D12" s="163"/>
      <c r="E12" s="163"/>
      <c r="F12" s="163"/>
      <c r="G12" s="94"/>
      <c r="H12" s="163"/>
      <c r="I12" s="163"/>
      <c r="J12" s="163"/>
      <c r="K12" s="94"/>
      <c r="L12" s="94"/>
      <c r="M12" s="100"/>
      <c r="N12" s="93"/>
      <c r="O12" s="165" t="n">
        <f aca="false">O11</f>
        <v>1.175</v>
      </c>
      <c r="P12" s="109" t="n">
        <f aca="false">P11</f>
        <v>0</v>
      </c>
      <c r="Q12" s="109" t="n">
        <f aca="false">Q11</f>
        <v>0</v>
      </c>
      <c r="R12" s="100" t="str">
        <f aca="false">INDEX('Base Criciúma'!$K$7:$K$19,MATCH(C12,'Base Criciúma'!$B$7:$B$19,0))</f>
        <v>SIM</v>
      </c>
      <c r="S12" s="101" t="n">
        <v>1</v>
      </c>
    </row>
    <row r="13" customFormat="false" ht="15.75" hidden="false" customHeight="true" outlineLevel="0" collapsed="false">
      <c r="B13" s="52" t="n">
        <v>5</v>
      </c>
      <c r="C13" s="162" t="s">
        <v>149</v>
      </c>
      <c r="D13" s="163" t="n">
        <v>65.9</v>
      </c>
      <c r="E13" s="163" t="n">
        <v>7.7</v>
      </c>
      <c r="F13" s="163" t="n">
        <v>72.8</v>
      </c>
      <c r="G13" s="94" t="n">
        <f aca="false">SUM(D13:F13)</f>
        <v>146.4</v>
      </c>
      <c r="H13" s="163" t="n">
        <v>51</v>
      </c>
      <c r="I13" s="163" t="n">
        <v>10</v>
      </c>
      <c r="J13" s="163" t="n">
        <v>57</v>
      </c>
      <c r="K13" s="94" t="n">
        <f aca="false">SUM(H13:J13)</f>
        <v>118</v>
      </c>
      <c r="L13" s="94" t="n">
        <f aca="false">K13/60</f>
        <v>1.96666666666667</v>
      </c>
      <c r="M13" s="100" t="n">
        <v>5</v>
      </c>
      <c r="N13" s="93" t="n">
        <v>2</v>
      </c>
      <c r="O13" s="164" t="n">
        <f aca="false">L13/N13</f>
        <v>0.983333333333333</v>
      </c>
      <c r="P13" s="99" t="n">
        <f aca="false">M13/N13</f>
        <v>2.5</v>
      </c>
      <c r="Q13" s="99" t="n">
        <v>0</v>
      </c>
      <c r="R13" s="100" t="str">
        <f aca="false">INDEX('Base Criciúma'!$K$7:$K$19,MATCH(C13,'Base Criciúma'!$B$7:$B$19,0))</f>
        <v>SIM</v>
      </c>
      <c r="S13" s="101" t="n">
        <v>1</v>
      </c>
    </row>
    <row r="14" customFormat="false" ht="15.75" hidden="false" customHeight="true" outlineLevel="0" collapsed="false">
      <c r="B14" s="52"/>
      <c r="C14" s="162" t="s">
        <v>144</v>
      </c>
      <c r="D14" s="163"/>
      <c r="E14" s="163"/>
      <c r="F14" s="163"/>
      <c r="G14" s="94"/>
      <c r="H14" s="163"/>
      <c r="I14" s="163"/>
      <c r="J14" s="163"/>
      <c r="K14" s="94"/>
      <c r="L14" s="94"/>
      <c r="M14" s="100"/>
      <c r="N14" s="93"/>
      <c r="O14" s="165" t="n">
        <f aca="false">O13</f>
        <v>0.983333333333333</v>
      </c>
      <c r="P14" s="109" t="n">
        <f aca="false">P13</f>
        <v>2.5</v>
      </c>
      <c r="Q14" s="109" t="n">
        <f aca="false">Q13</f>
        <v>0</v>
      </c>
      <c r="R14" s="100" t="str">
        <f aca="false">INDEX('Base Criciúma'!$K$7:$K$19,MATCH(C14,'Base Criciúma'!$B$7:$B$19,0))</f>
        <v>NÃO</v>
      </c>
      <c r="S14" s="101" t="n">
        <v>1</v>
      </c>
    </row>
    <row r="15" customFormat="false" ht="15.75" hidden="false" customHeight="true" outlineLevel="0" collapsed="false">
      <c r="B15" s="52" t="n">
        <v>6</v>
      </c>
      <c r="C15" s="162" t="s">
        <v>147</v>
      </c>
      <c r="D15" s="163" t="n">
        <v>94.3</v>
      </c>
      <c r="E15" s="163" t="n">
        <v>33.5</v>
      </c>
      <c r="F15" s="163" t="n">
        <v>114</v>
      </c>
      <c r="G15" s="94" t="n">
        <f aca="false">SUM(D15:F15)</f>
        <v>241.8</v>
      </c>
      <c r="H15" s="163" t="n">
        <v>72</v>
      </c>
      <c r="I15" s="163" t="n">
        <v>33</v>
      </c>
      <c r="J15" s="163" t="n">
        <v>86</v>
      </c>
      <c r="K15" s="94" t="n">
        <f aca="false">SUM(H15:J15)</f>
        <v>191</v>
      </c>
      <c r="L15" s="94" t="n">
        <f aca="false">K15/60</f>
        <v>3.18333333333333</v>
      </c>
      <c r="M15" s="100" t="n">
        <v>10</v>
      </c>
      <c r="N15" s="166" t="n">
        <v>2</v>
      </c>
      <c r="O15" s="164" t="n">
        <f aca="false">L15/N15</f>
        <v>1.59166666666667</v>
      </c>
      <c r="P15" s="99" t="n">
        <f aca="false">M15/N15</f>
        <v>5</v>
      </c>
      <c r="Q15" s="99" t="n">
        <v>0</v>
      </c>
      <c r="R15" s="100" t="str">
        <f aca="false">INDEX('Base Criciúma'!$K$7:$K$19,MATCH(C15,'Base Criciúma'!$B$7:$B$19,0))</f>
        <v>NÃO</v>
      </c>
      <c r="S15" s="101" t="n">
        <v>0</v>
      </c>
    </row>
    <row r="16" customFormat="false" ht="15.75" hidden="false" customHeight="true" outlineLevel="0" collapsed="false">
      <c r="B16" s="52"/>
      <c r="C16" s="162" t="s">
        <v>153</v>
      </c>
      <c r="D16" s="163"/>
      <c r="E16" s="163"/>
      <c r="F16" s="163"/>
      <c r="G16" s="94"/>
      <c r="H16" s="163"/>
      <c r="I16" s="163"/>
      <c r="J16" s="163"/>
      <c r="K16" s="94"/>
      <c r="L16" s="94"/>
      <c r="M16" s="100"/>
      <c r="N16" s="166"/>
      <c r="O16" s="165" t="n">
        <f aca="false">O15</f>
        <v>1.59166666666667</v>
      </c>
      <c r="P16" s="109" t="n">
        <f aca="false">P15</f>
        <v>5</v>
      </c>
      <c r="Q16" s="109" t="n">
        <f aca="false">Q15</f>
        <v>0</v>
      </c>
      <c r="R16" s="100" t="str">
        <f aca="false">INDEX('Base Criciúma'!$K$7:$K$19,MATCH(C16,'Base Criciúma'!$B$7:$B$19,0))</f>
        <v>NÃO</v>
      </c>
      <c r="S16" s="101" t="n">
        <v>0</v>
      </c>
    </row>
    <row r="17" customFormat="false" ht="15.75" hidden="false" customHeight="true" outlineLevel="0" collapsed="false">
      <c r="B17" s="52" t="n">
        <v>7</v>
      </c>
      <c r="C17" s="162" t="s">
        <v>154</v>
      </c>
      <c r="D17" s="163" t="n">
        <v>113</v>
      </c>
      <c r="E17" s="163" t="n">
        <v>114</v>
      </c>
      <c r="F17" s="163" t="n">
        <v>0</v>
      </c>
      <c r="G17" s="94" t="n">
        <f aca="false">SUM(D17:F17)</f>
        <v>227</v>
      </c>
      <c r="H17" s="163" t="n">
        <v>144</v>
      </c>
      <c r="I17" s="163" t="n">
        <v>137</v>
      </c>
      <c r="J17" s="163" t="n">
        <v>0</v>
      </c>
      <c r="K17" s="94" t="n">
        <f aca="false">SUM(H17:J17)</f>
        <v>281</v>
      </c>
      <c r="L17" s="94" t="n">
        <f aca="false">K17/60</f>
        <v>4.68333333333333</v>
      </c>
      <c r="M17" s="95" t="n">
        <v>0</v>
      </c>
      <c r="N17" s="166" t="n">
        <v>1</v>
      </c>
      <c r="O17" s="94" t="n">
        <f aca="false">L17/N17</f>
        <v>4.68333333333333</v>
      </c>
      <c r="P17" s="115" t="n">
        <f aca="false">M17/N17</f>
        <v>0</v>
      </c>
      <c r="Q17" s="95" t="n">
        <v>0</v>
      </c>
      <c r="R17" s="100" t="str">
        <f aca="false">INDEX('Base Criciúma'!$K$7:$K$19,MATCH(C17,'Base Criciúma'!$B$7:$B$19,0))</f>
        <v>NÃO</v>
      </c>
      <c r="S17" s="101" t="n">
        <v>0</v>
      </c>
    </row>
    <row r="18" customFormat="false" ht="21" hidden="false" customHeight="true" outlineLevel="0" collapsed="false">
      <c r="B18" s="119" t="s">
        <v>102</v>
      </c>
      <c r="C18" s="119"/>
      <c r="D18" s="119"/>
      <c r="E18" s="119"/>
      <c r="F18" s="119"/>
      <c r="G18" s="120" t="n">
        <f aca="false">SUM(G5:G17)</f>
        <v>944.1</v>
      </c>
      <c r="H18" s="120" t="s">
        <v>102</v>
      </c>
      <c r="I18" s="120"/>
      <c r="J18" s="120"/>
      <c r="K18" s="120" t="n">
        <f aca="false">SUM(K5:K17)</f>
        <v>940</v>
      </c>
      <c r="L18" s="120" t="n">
        <f aca="false">SUM(L5:L17)</f>
        <v>15.6666666666667</v>
      </c>
      <c r="M18" s="122" t="n">
        <f aca="false">SUM(M5:M17)</f>
        <v>20</v>
      </c>
      <c r="N18" s="167" t="n">
        <f aca="false">SUM(N5:N17)</f>
        <v>13</v>
      </c>
      <c r="O18" s="120" t="n">
        <f aca="false">SUM(O5:O17)</f>
        <v>15.6666666666667</v>
      </c>
      <c r="P18" s="122" t="n">
        <f aca="false">SUM(P5:P17)</f>
        <v>20</v>
      </c>
      <c r="Q18" s="122" t="n">
        <v>0</v>
      </c>
      <c r="R18" s="122"/>
      <c r="S18" s="123"/>
    </row>
    <row r="19" customFormat="false" ht="15.75" hidden="false" customHeight="true" outlineLevel="0" collapsed="false">
      <c r="B19" s="126"/>
      <c r="C19" s="126"/>
      <c r="D19" s="126"/>
      <c r="E19" s="126"/>
      <c r="F19" s="85"/>
      <c r="G19" s="85"/>
      <c r="H19" s="85"/>
      <c r="I19" s="85"/>
      <c r="J19" s="85"/>
      <c r="K19" s="85"/>
      <c r="L19" s="85"/>
      <c r="M19" s="85"/>
      <c r="N19" s="85"/>
    </row>
    <row r="20" customFormat="false" ht="18.75" hidden="false" customHeight="true" outlineLevel="0" collapsed="false">
      <c r="B20" s="127" t="s">
        <v>123</v>
      </c>
      <c r="C20" s="127"/>
      <c r="D20" s="127"/>
      <c r="E20" s="127"/>
      <c r="F20" s="126"/>
      <c r="G20" s="126"/>
      <c r="H20" s="126"/>
      <c r="I20" s="126"/>
      <c r="J20" s="126"/>
      <c r="K20" s="126"/>
      <c r="L20" s="126"/>
      <c r="M20" s="126"/>
      <c r="N20" s="126"/>
    </row>
    <row r="21" customFormat="false" ht="18.75" hidden="false" customHeight="true" outlineLevel="0" collapsed="false">
      <c r="B21" s="149" t="s">
        <v>124</v>
      </c>
      <c r="C21" s="149" t="s">
        <v>125</v>
      </c>
      <c r="D21" s="149" t="s">
        <v>126</v>
      </c>
      <c r="E21" s="149" t="s">
        <v>127</v>
      </c>
      <c r="F21" s="126"/>
      <c r="G21" s="128"/>
      <c r="H21" s="128"/>
      <c r="I21" s="126"/>
      <c r="J21" s="126"/>
      <c r="K21" s="126"/>
      <c r="L21" s="126"/>
      <c r="M21" s="126"/>
      <c r="N21" s="126"/>
    </row>
    <row r="22" customFormat="false" ht="18.75" hidden="false" customHeight="true" outlineLevel="0" collapsed="false">
      <c r="B22" s="52" t="s">
        <v>128</v>
      </c>
      <c r="C22" s="130" t="s">
        <v>129</v>
      </c>
      <c r="D22" s="52" t="s">
        <v>130</v>
      </c>
      <c r="E22" s="131" t="n">
        <f aca="false">'Desl. Base Florianópolis'!E24</f>
        <v>52.02</v>
      </c>
      <c r="F22" s="126"/>
      <c r="G22" s="132"/>
      <c r="H22" s="168"/>
      <c r="I22" s="126"/>
      <c r="J22" s="126"/>
      <c r="K22" s="169"/>
      <c r="L22" s="169"/>
    </row>
    <row r="23" customFormat="false" ht="18.75" hidden="false" customHeight="true" outlineLevel="0" collapsed="false">
      <c r="B23" s="112" t="s">
        <v>131</v>
      </c>
      <c r="C23" s="133" t="s">
        <v>129</v>
      </c>
      <c r="D23" s="112" t="s">
        <v>132</v>
      </c>
      <c r="E23" s="134" t="n">
        <f aca="false">'Desl. Base Florianópolis'!E25</f>
        <v>6.95</v>
      </c>
      <c r="F23" s="126"/>
      <c r="G23" s="132"/>
      <c r="H23" s="132"/>
      <c r="I23" s="126"/>
      <c r="J23" s="126"/>
      <c r="K23" s="169"/>
      <c r="L23" s="169"/>
    </row>
    <row r="24" customFormat="false" ht="47.25" hidden="false" customHeight="true" outlineLevel="0" collapsed="false">
      <c r="B24" s="135" t="s">
        <v>133</v>
      </c>
      <c r="C24" s="135"/>
      <c r="D24" s="135"/>
      <c r="E24" s="135"/>
      <c r="F24" s="136"/>
      <c r="G24" s="136"/>
      <c r="H24" s="136"/>
      <c r="I24" s="136"/>
      <c r="J24" s="136"/>
      <c r="K24" s="136"/>
      <c r="L24" s="169"/>
    </row>
    <row r="25" customFormat="false" ht="18.75" hidden="false" customHeight="true" outlineLevel="0" collapsed="false">
      <c r="B25" s="137"/>
      <c r="C25" s="137"/>
      <c r="D25" s="137"/>
      <c r="E25" s="137"/>
      <c r="F25" s="136"/>
      <c r="G25" s="136"/>
      <c r="H25" s="136"/>
      <c r="I25" s="136"/>
      <c r="J25" s="136"/>
      <c r="K25" s="136"/>
      <c r="L25" s="169"/>
    </row>
    <row r="26" customFormat="false" ht="15.75" hidden="false" customHeight="true" outlineLevel="0" collapsed="false">
      <c r="B26" s="127" t="s">
        <v>134</v>
      </c>
      <c r="C26" s="127"/>
      <c r="D26" s="126"/>
      <c r="E26" s="126"/>
      <c r="F26" s="126"/>
      <c r="G26" s="126"/>
      <c r="H26" s="126"/>
      <c r="I26" s="126"/>
      <c r="J26" s="126"/>
      <c r="K26" s="126"/>
      <c r="L26" s="126"/>
    </row>
    <row r="27" customFormat="false" ht="15.75" hidden="false" customHeight="true" outlineLevel="0" collapsed="false">
      <c r="B27" s="170" t="s">
        <v>130</v>
      </c>
      <c r="C27" s="171" t="n">
        <f aca="false">E22*L18</f>
        <v>814.98</v>
      </c>
      <c r="D27" s="126"/>
      <c r="E27" s="126"/>
      <c r="F27" s="126"/>
      <c r="G27" s="126"/>
      <c r="H27" s="126"/>
      <c r="I27" s="126"/>
      <c r="J27" s="126"/>
    </row>
    <row r="28" customFormat="false" ht="15.75" hidden="false" customHeight="true" outlineLevel="0" collapsed="false">
      <c r="B28" s="52" t="s">
        <v>132</v>
      </c>
      <c r="C28" s="131" t="n">
        <f aca="false">E23*('Base Criciúma'!N20/12)</f>
        <v>278.144791666667</v>
      </c>
      <c r="D28" s="126"/>
      <c r="E28" s="126"/>
      <c r="F28" s="126"/>
      <c r="G28" s="126"/>
      <c r="H28" s="126"/>
      <c r="I28" s="126"/>
      <c r="J28" s="126"/>
    </row>
    <row r="29" customFormat="false" ht="15.75" hidden="false" customHeight="true" outlineLevel="0" collapsed="false">
      <c r="B29" s="138" t="s">
        <v>28</v>
      </c>
      <c r="C29" s="139" t="n">
        <f aca="false">C27+C28</f>
        <v>1093.12479166667</v>
      </c>
      <c r="D29" s="126"/>
      <c r="E29" s="126"/>
      <c r="F29" s="126"/>
      <c r="G29" s="126"/>
      <c r="H29" s="126"/>
      <c r="I29" s="85"/>
      <c r="J29" s="85"/>
    </row>
    <row r="30" customFormat="false" ht="15.75" hidden="false" customHeight="true" outlineLevel="0" collapsed="false">
      <c r="B30" s="172"/>
      <c r="C30" s="172"/>
      <c r="D30" s="126"/>
      <c r="H30" s="85"/>
      <c r="I30" s="85"/>
    </row>
    <row r="31" customFormat="false" ht="15.75" hidden="false" customHeight="true" outlineLevel="0" collapsed="false">
      <c r="B31" s="141" t="s">
        <v>135</v>
      </c>
      <c r="C31" s="141"/>
      <c r="D31" s="126"/>
      <c r="H31" s="85"/>
      <c r="I31" s="85"/>
    </row>
    <row r="32" customFormat="false" ht="15.75" hidden="false" customHeight="true" outlineLevel="0" collapsed="false">
      <c r="B32" s="149" t="s">
        <v>127</v>
      </c>
      <c r="C32" s="143" t="n">
        <f aca="false">SUM(M5:M17)</f>
        <v>20</v>
      </c>
      <c r="I32" s="126"/>
    </row>
    <row r="33" customFormat="false" ht="14.25" hidden="false" customHeight="false" outlineLevel="0" collapsed="false">
      <c r="B33" s="85"/>
      <c r="C33" s="85"/>
      <c r="D33" s="85"/>
    </row>
    <row r="34" customFormat="false" ht="14.25" hidden="false" customHeight="false" outlineLevel="0" collapsed="false">
      <c r="B34" s="145" t="s">
        <v>136</v>
      </c>
      <c r="C34" s="173"/>
      <c r="D34" s="85"/>
    </row>
    <row r="35" customFormat="false" ht="14.25" hidden="false" customHeight="false" outlineLevel="0" collapsed="false">
      <c r="B35" s="132"/>
      <c r="C35" s="126"/>
      <c r="D35" s="126"/>
    </row>
    <row r="36" customFormat="false" ht="14.25" hidden="false" customHeight="false" outlineLevel="0" collapsed="false">
      <c r="B36" s="172"/>
      <c r="C36" s="126"/>
      <c r="D36" s="126"/>
    </row>
    <row r="37" customFormat="false" ht="14.25" hidden="false" customHeight="false" outlineLevel="0" collapsed="false">
      <c r="B37" s="126"/>
      <c r="C37" s="126"/>
      <c r="D37" s="132"/>
    </row>
    <row r="38" customFormat="false" ht="14.25" hidden="false" customHeight="false" outlineLevel="0" collapsed="false">
      <c r="B38" s="126"/>
      <c r="C38" s="126"/>
      <c r="D38" s="132"/>
    </row>
    <row r="39" customFormat="false" ht="14.25" hidden="false" customHeight="false" outlineLevel="0" collapsed="false">
      <c r="B39" s="126"/>
      <c r="C39" s="126"/>
      <c r="D39" s="132"/>
    </row>
    <row r="40" customFormat="false" ht="14.25" hidden="false" customHeight="false" outlineLevel="0" collapsed="false">
      <c r="B40" s="172"/>
      <c r="C40" s="126"/>
      <c r="D40" s="174"/>
    </row>
    <row r="41" customFormat="false" ht="14.25" hidden="false" customHeight="false" outlineLevel="0" collapsed="false">
      <c r="B41" s="85"/>
      <c r="C41" s="85"/>
      <c r="D41" s="85"/>
    </row>
    <row r="42" customFormat="false" ht="14.25" hidden="false" customHeight="false" outlineLevel="0" collapsed="false">
      <c r="B42" s="175"/>
      <c r="C42" s="85"/>
      <c r="D42" s="85"/>
    </row>
    <row r="43" customFormat="false" ht="14.25" hidden="false" customHeight="false" outlineLevel="0" collapsed="false">
      <c r="B43" s="132"/>
      <c r="C43" s="126"/>
      <c r="D43" s="126"/>
    </row>
    <row r="44" customFormat="false" ht="14.25" hidden="false" customHeight="false" outlineLevel="0" collapsed="false">
      <c r="B44" s="172"/>
      <c r="C44" s="126"/>
      <c r="D44" s="126"/>
    </row>
    <row r="45" customFormat="false" ht="14.25" hidden="false" customHeight="false" outlineLevel="0" collapsed="false">
      <c r="B45" s="126"/>
      <c r="C45" s="126"/>
      <c r="D45" s="132"/>
    </row>
    <row r="46" customFormat="false" ht="14.25" hidden="false" customHeight="false" outlineLevel="0" collapsed="false">
      <c r="B46" s="126"/>
      <c r="C46" s="126"/>
      <c r="D46" s="132"/>
    </row>
    <row r="47" customFormat="false" ht="14.25" hidden="false" customHeight="false" outlineLevel="0" collapsed="false">
      <c r="B47" s="172"/>
      <c r="C47" s="126"/>
      <c r="D47" s="174"/>
    </row>
    <row r="48" customFormat="false" ht="14.25" hidden="false" customHeight="false" outlineLevel="0" collapsed="false">
      <c r="B48" s="85"/>
      <c r="C48" s="85"/>
      <c r="D48" s="85"/>
    </row>
    <row r="49" customFormat="false" ht="14.25" hidden="false" customHeight="false" outlineLevel="0" collapsed="false">
      <c r="B49" s="175"/>
      <c r="C49" s="85"/>
      <c r="D49" s="85"/>
    </row>
    <row r="50" customFormat="false" ht="14.25" hidden="false" customHeight="false" outlineLevel="0" collapsed="false">
      <c r="B50" s="132"/>
      <c r="C50" s="126"/>
      <c r="D50" s="126"/>
    </row>
    <row r="51" customFormat="false" ht="14.25" hidden="false" customHeight="false" outlineLevel="0" collapsed="false">
      <c r="B51" s="172"/>
      <c r="C51" s="126"/>
      <c r="D51" s="126"/>
    </row>
    <row r="52" customFormat="false" ht="14.25" hidden="false" customHeight="false" outlineLevel="0" collapsed="false">
      <c r="B52" s="126"/>
      <c r="C52" s="126"/>
      <c r="D52" s="132"/>
    </row>
    <row r="53" customFormat="false" ht="14.25" hidden="false" customHeight="false" outlineLevel="0" collapsed="false">
      <c r="B53" s="126"/>
      <c r="C53" s="126"/>
      <c r="D53" s="132"/>
    </row>
    <row r="54" customFormat="false" ht="14.25" hidden="false" customHeight="false" outlineLevel="0" collapsed="false">
      <c r="B54" s="172"/>
      <c r="C54" s="126"/>
      <c r="D54" s="174"/>
    </row>
    <row r="55" customFormat="false" ht="14.25" hidden="false" customHeight="false" outlineLevel="0" collapsed="false">
      <c r="B55" s="85"/>
      <c r="C55" s="85"/>
      <c r="D55" s="85"/>
    </row>
    <row r="56" customFormat="false" ht="14.25" hidden="false" customHeight="false" outlineLevel="0" collapsed="false">
      <c r="B56" s="175"/>
      <c r="C56" s="85"/>
      <c r="D56" s="85"/>
    </row>
    <row r="57" customFormat="false" ht="14.25" hidden="false" customHeight="false" outlineLevel="0" collapsed="false">
      <c r="B57" s="132"/>
      <c r="C57" s="126"/>
      <c r="D57" s="126"/>
    </row>
    <row r="58" customFormat="false" ht="14.25" hidden="false" customHeight="false" outlineLevel="0" collapsed="false">
      <c r="B58" s="172"/>
      <c r="C58" s="126"/>
      <c r="D58" s="126"/>
    </row>
    <row r="59" customFormat="false" ht="14.25" hidden="false" customHeight="false" outlineLevel="0" collapsed="false">
      <c r="B59" s="126"/>
      <c r="C59" s="126"/>
      <c r="D59" s="132"/>
    </row>
    <row r="60" customFormat="false" ht="14.25" hidden="false" customHeight="false" outlineLevel="0" collapsed="false">
      <c r="B60" s="126"/>
      <c r="C60" s="126"/>
      <c r="D60" s="132"/>
    </row>
    <row r="61" customFormat="false" ht="14.25" hidden="false" customHeight="false" outlineLevel="0" collapsed="false">
      <c r="B61" s="126"/>
      <c r="C61" s="126"/>
      <c r="D61" s="132"/>
    </row>
    <row r="62" customFormat="false" ht="14.25" hidden="false" customHeight="false" outlineLevel="0" collapsed="false">
      <c r="B62" s="172"/>
      <c r="C62" s="126"/>
      <c r="D62" s="174"/>
    </row>
  </sheetData>
  <mergeCells count="79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8:F18"/>
    <mergeCell ref="H18:J18"/>
    <mergeCell ref="B20:E20"/>
    <mergeCell ref="B24:E24"/>
    <mergeCell ref="B26:C26"/>
    <mergeCell ref="B31:C31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3" colorId="64" zoomScale="90" zoomScaleNormal="90" zoomScalePageLayoutView="100" workbookViewId="0">
      <selection pane="topLeft" activeCell="D8" activeCellId="0" sqref="D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76" t="s">
        <v>156</v>
      </c>
      <c r="C2" s="176"/>
      <c r="D2" s="176"/>
      <c r="E2" s="176"/>
      <c r="F2" s="176"/>
      <c r="G2" s="176"/>
      <c r="H2" s="176"/>
      <c r="I2" s="176"/>
    </row>
    <row r="3" customFormat="false" ht="21" hidden="false" customHeight="true" outlineLevel="0" collapsed="false"/>
    <row r="4" customFormat="false" ht="16.5" hidden="false" customHeight="true" outlineLevel="0" collapsed="false">
      <c r="B4" s="177" t="s">
        <v>157</v>
      </c>
      <c r="C4" s="177"/>
      <c r="D4" s="177"/>
      <c r="E4" s="177"/>
      <c r="F4" s="177"/>
      <c r="G4" s="177"/>
      <c r="H4" s="177"/>
      <c r="I4" s="177"/>
    </row>
    <row r="5" customFormat="false" ht="16.5" hidden="false" customHeight="true" outlineLevel="0" collapsed="false">
      <c r="B5" s="178" t="s">
        <v>158</v>
      </c>
      <c r="C5" s="178"/>
      <c r="D5" s="179" t="s">
        <v>159</v>
      </c>
      <c r="E5" s="179"/>
      <c r="F5" s="179"/>
      <c r="G5" s="179"/>
      <c r="H5" s="179"/>
      <c r="I5" s="179"/>
    </row>
    <row r="6" customFormat="false" ht="16.5" hidden="false" customHeight="true" outlineLevel="0" collapsed="false">
      <c r="B6" s="178" t="s">
        <v>125</v>
      </c>
      <c r="C6" s="178"/>
      <c r="D6" s="179" t="s">
        <v>160</v>
      </c>
      <c r="E6" s="179"/>
      <c r="F6" s="179"/>
      <c r="G6" s="179"/>
      <c r="H6" s="179"/>
      <c r="I6" s="179"/>
    </row>
    <row r="7" customFormat="false" ht="16.5" hidden="false" customHeight="true" outlineLevel="0" collapsed="false">
      <c r="B7" s="178" t="s">
        <v>161</v>
      </c>
      <c r="C7" s="178"/>
      <c r="D7" s="180" t="s">
        <v>162</v>
      </c>
      <c r="E7" s="180"/>
      <c r="F7" s="180"/>
      <c r="G7" s="180"/>
      <c r="H7" s="180"/>
      <c r="I7" s="180"/>
    </row>
    <row r="8" customFormat="false" ht="16.5" hidden="false" customHeight="true" outlineLevel="0" collapsed="false">
      <c r="B8" s="178" t="s">
        <v>163</v>
      </c>
      <c r="C8" s="178"/>
      <c r="D8" s="179" t="s">
        <v>164</v>
      </c>
      <c r="E8" s="179"/>
      <c r="F8" s="179"/>
      <c r="G8" s="179"/>
      <c r="H8" s="179"/>
      <c r="I8" s="179"/>
    </row>
    <row r="9" customFormat="false" ht="16.5" hidden="false" customHeight="true" outlineLevel="0" collapsed="false">
      <c r="B9" s="178" t="s">
        <v>165</v>
      </c>
      <c r="C9" s="178"/>
      <c r="D9" s="179" t="s">
        <v>166</v>
      </c>
      <c r="E9" s="179"/>
      <c r="F9" s="179"/>
      <c r="G9" s="179"/>
      <c r="H9" s="179"/>
      <c r="I9" s="179"/>
    </row>
    <row r="10" customFormat="false" ht="16.5" hidden="false" customHeight="true" outlineLevel="0" collapsed="false">
      <c r="B10" s="178" t="s">
        <v>126</v>
      </c>
      <c r="C10" s="178"/>
      <c r="D10" s="179" t="s">
        <v>130</v>
      </c>
      <c r="E10" s="179"/>
      <c r="F10" s="179"/>
      <c r="G10" s="179"/>
      <c r="H10" s="179"/>
      <c r="I10" s="179"/>
    </row>
    <row r="11" customFormat="false" ht="23.25" hidden="false" customHeight="true" outlineLevel="0" collapsed="false">
      <c r="B11" s="178" t="s">
        <v>167</v>
      </c>
      <c r="C11" s="178"/>
      <c r="D11" s="181" t="n">
        <f aca="false">SUM(I14:I18)</f>
        <v>52.02</v>
      </c>
      <c r="E11" s="181"/>
      <c r="F11" s="181"/>
      <c r="G11" s="181"/>
      <c r="H11" s="181"/>
      <c r="I11" s="181"/>
    </row>
    <row r="12" customFormat="false" ht="15.75" hidden="false" customHeight="true" outlineLevel="0" collapsed="false">
      <c r="B12" s="182"/>
      <c r="C12" s="182"/>
      <c r="D12" s="183"/>
      <c r="E12" s="183"/>
      <c r="F12" s="183"/>
      <c r="G12" s="183"/>
      <c r="H12" s="183"/>
      <c r="I12" s="183"/>
    </row>
    <row r="13" customFormat="false" ht="29.25" hidden="false" customHeight="true" outlineLevel="0" collapsed="false">
      <c r="B13" s="184"/>
      <c r="C13" s="184" t="s">
        <v>168</v>
      </c>
      <c r="D13" s="184" t="s">
        <v>125</v>
      </c>
      <c r="E13" s="184" t="s">
        <v>165</v>
      </c>
      <c r="F13" s="184" t="s">
        <v>126</v>
      </c>
      <c r="G13" s="184" t="s">
        <v>169</v>
      </c>
      <c r="H13" s="184" t="s">
        <v>170</v>
      </c>
      <c r="I13" s="184" t="s">
        <v>167</v>
      </c>
    </row>
    <row r="14" customFormat="false" ht="27.75" hidden="false" customHeight="true" outlineLevel="0" collapsed="false">
      <c r="B14" s="185" t="s">
        <v>171</v>
      </c>
      <c r="C14" s="185" t="s">
        <v>172</v>
      </c>
      <c r="D14" s="186" t="s">
        <v>173</v>
      </c>
      <c r="E14" s="186" t="s">
        <v>166</v>
      </c>
      <c r="F14" s="185" t="s">
        <v>174</v>
      </c>
      <c r="G14" s="187" t="n">
        <v>4.86</v>
      </c>
      <c r="H14" s="185" t="s">
        <v>175</v>
      </c>
      <c r="I14" s="187" t="n">
        <f aca="false">G14*H14</f>
        <v>4.86</v>
      </c>
    </row>
    <row r="15" customFormat="false" ht="27.75" hidden="false" customHeight="true" outlineLevel="0" collapsed="false">
      <c r="B15" s="185" t="s">
        <v>171</v>
      </c>
      <c r="C15" s="185" t="s">
        <v>176</v>
      </c>
      <c r="D15" s="186" t="s">
        <v>177</v>
      </c>
      <c r="E15" s="186" t="s">
        <v>166</v>
      </c>
      <c r="F15" s="185" t="s">
        <v>174</v>
      </c>
      <c r="G15" s="187" t="n">
        <v>1.49</v>
      </c>
      <c r="H15" s="185" t="s">
        <v>175</v>
      </c>
      <c r="I15" s="187" t="n">
        <f aca="false">G15*H15</f>
        <v>1.49</v>
      </c>
    </row>
    <row r="16" customFormat="false" ht="42" hidden="false" customHeight="true" outlineLevel="0" collapsed="false">
      <c r="B16" s="185" t="s">
        <v>171</v>
      </c>
      <c r="C16" s="185" t="s">
        <v>178</v>
      </c>
      <c r="D16" s="186" t="s">
        <v>179</v>
      </c>
      <c r="E16" s="186" t="s">
        <v>166</v>
      </c>
      <c r="F16" s="185" t="s">
        <v>174</v>
      </c>
      <c r="G16" s="187" t="n">
        <v>0.6</v>
      </c>
      <c r="H16" s="185" t="s">
        <v>175</v>
      </c>
      <c r="I16" s="187" t="n">
        <f aca="false">G16*H16</f>
        <v>0.6</v>
      </c>
    </row>
    <row r="17" customFormat="false" ht="27.75" hidden="false" customHeight="true" outlineLevel="0" collapsed="false">
      <c r="B17" s="185" t="s">
        <v>171</v>
      </c>
      <c r="C17" s="185" t="s">
        <v>180</v>
      </c>
      <c r="D17" s="186" t="s">
        <v>181</v>
      </c>
      <c r="E17" s="186" t="s">
        <v>166</v>
      </c>
      <c r="F17" s="185" t="s">
        <v>174</v>
      </c>
      <c r="G17" s="187" t="n">
        <v>6.07</v>
      </c>
      <c r="H17" s="185" t="s">
        <v>175</v>
      </c>
      <c r="I17" s="187" t="n">
        <f aca="false">G17*H17</f>
        <v>6.07</v>
      </c>
    </row>
    <row r="18" customFormat="false" ht="42" hidden="false" customHeight="true" outlineLevel="0" collapsed="false">
      <c r="B18" s="185" t="s">
        <v>171</v>
      </c>
      <c r="C18" s="185" t="s">
        <v>182</v>
      </c>
      <c r="D18" s="186" t="s">
        <v>183</v>
      </c>
      <c r="E18" s="186" t="s">
        <v>166</v>
      </c>
      <c r="F18" s="185" t="s">
        <v>174</v>
      </c>
      <c r="G18" s="187" t="n">
        <v>39</v>
      </c>
      <c r="H18" s="185" t="s">
        <v>175</v>
      </c>
      <c r="I18" s="187" t="n">
        <f aca="false">G18*H18</f>
        <v>39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76" t="s">
        <v>184</v>
      </c>
      <c r="C20" s="176"/>
      <c r="D20" s="176"/>
      <c r="E20" s="176"/>
      <c r="F20" s="176"/>
      <c r="G20" s="176"/>
      <c r="H20" s="176"/>
      <c r="I20" s="176"/>
    </row>
    <row r="21" customFormat="false" ht="16.5" hidden="false" customHeight="true" outlineLevel="0" collapsed="false">
      <c r="B21" s="178" t="s">
        <v>158</v>
      </c>
      <c r="C21" s="178"/>
      <c r="D21" s="179" t="s">
        <v>185</v>
      </c>
      <c r="E21" s="179"/>
      <c r="F21" s="179"/>
      <c r="G21" s="179"/>
      <c r="H21" s="179"/>
      <c r="I21" s="179"/>
    </row>
    <row r="22" customFormat="false" ht="16.5" hidden="false" customHeight="true" outlineLevel="0" collapsed="false">
      <c r="B22" s="178" t="s">
        <v>125</v>
      </c>
      <c r="C22" s="178"/>
      <c r="D22" s="179" t="s">
        <v>186</v>
      </c>
      <c r="E22" s="179"/>
      <c r="F22" s="179"/>
      <c r="G22" s="179"/>
      <c r="H22" s="179"/>
      <c r="I22" s="179"/>
    </row>
    <row r="23" customFormat="false" ht="16.5" hidden="false" customHeight="true" outlineLevel="0" collapsed="false">
      <c r="B23" s="178" t="s">
        <v>161</v>
      </c>
      <c r="C23" s="178"/>
      <c r="D23" s="180" t="s">
        <v>162</v>
      </c>
      <c r="E23" s="180"/>
      <c r="F23" s="180"/>
      <c r="G23" s="180"/>
      <c r="H23" s="180"/>
      <c r="I23" s="180"/>
    </row>
    <row r="24" customFormat="false" ht="16.5" hidden="false" customHeight="true" outlineLevel="0" collapsed="false">
      <c r="B24" s="178" t="s">
        <v>163</v>
      </c>
      <c r="C24" s="178"/>
      <c r="D24" s="179" t="s">
        <v>164</v>
      </c>
      <c r="E24" s="179"/>
      <c r="F24" s="179"/>
      <c r="G24" s="179"/>
      <c r="H24" s="179"/>
      <c r="I24" s="179"/>
    </row>
    <row r="25" customFormat="false" ht="16.5" hidden="false" customHeight="true" outlineLevel="0" collapsed="false">
      <c r="B25" s="178" t="s">
        <v>165</v>
      </c>
      <c r="C25" s="178"/>
      <c r="D25" s="179" t="s">
        <v>166</v>
      </c>
      <c r="E25" s="179"/>
      <c r="F25" s="179"/>
      <c r="G25" s="179"/>
      <c r="H25" s="179"/>
      <c r="I25" s="179"/>
    </row>
    <row r="26" customFormat="false" ht="16.5" hidden="false" customHeight="true" outlineLevel="0" collapsed="false">
      <c r="B26" s="178" t="s">
        <v>126</v>
      </c>
      <c r="C26" s="178"/>
      <c r="D26" s="179" t="s">
        <v>132</v>
      </c>
      <c r="E26" s="179"/>
      <c r="F26" s="179"/>
      <c r="G26" s="179"/>
      <c r="H26" s="179"/>
      <c r="I26" s="179"/>
    </row>
    <row r="27" customFormat="false" ht="23.25" hidden="false" customHeight="true" outlineLevel="0" collapsed="false">
      <c r="B27" s="178" t="s">
        <v>167</v>
      </c>
      <c r="C27" s="178"/>
      <c r="D27" s="188" t="n">
        <f aca="false">SUM(I30:I32)</f>
        <v>6.95</v>
      </c>
      <c r="E27" s="188"/>
      <c r="F27" s="188"/>
      <c r="G27" s="188"/>
      <c r="H27" s="188"/>
      <c r="I27" s="188"/>
    </row>
    <row r="28" customFormat="false" ht="15.75" hidden="false" customHeight="true" outlineLevel="0" collapsed="false">
      <c r="B28" s="182"/>
      <c r="C28" s="182"/>
      <c r="D28" s="183"/>
      <c r="E28" s="183"/>
      <c r="F28" s="183"/>
      <c r="G28" s="183"/>
      <c r="H28" s="183"/>
      <c r="I28" s="183"/>
    </row>
    <row r="29" customFormat="false" ht="29.25" hidden="false" customHeight="true" outlineLevel="0" collapsed="false">
      <c r="B29" s="184"/>
      <c r="C29" s="184" t="s">
        <v>168</v>
      </c>
      <c r="D29" s="184" t="s">
        <v>125</v>
      </c>
      <c r="E29" s="184" t="s">
        <v>165</v>
      </c>
      <c r="F29" s="184" t="s">
        <v>126</v>
      </c>
      <c r="G29" s="184" t="s">
        <v>169</v>
      </c>
      <c r="H29" s="184" t="s">
        <v>170</v>
      </c>
      <c r="I29" s="184" t="s">
        <v>167</v>
      </c>
    </row>
    <row r="30" customFormat="false" ht="27.75" hidden="false" customHeight="true" outlineLevel="0" collapsed="false">
      <c r="B30" s="185" t="s">
        <v>171</v>
      </c>
      <c r="C30" s="185" t="s">
        <v>172</v>
      </c>
      <c r="D30" s="186" t="s">
        <v>173</v>
      </c>
      <c r="E30" s="186" t="s">
        <v>166</v>
      </c>
      <c r="F30" s="185" t="s">
        <v>174</v>
      </c>
      <c r="G30" s="187" t="n">
        <f aca="false">G14</f>
        <v>4.86</v>
      </c>
      <c r="H30" s="185" t="s">
        <v>175</v>
      </c>
      <c r="I30" s="187" t="n">
        <f aca="false">G30*H30</f>
        <v>4.86</v>
      </c>
    </row>
    <row r="31" customFormat="false" ht="27.75" hidden="false" customHeight="true" outlineLevel="0" collapsed="false">
      <c r="B31" s="185" t="s">
        <v>171</v>
      </c>
      <c r="C31" s="185" t="s">
        <v>176</v>
      </c>
      <c r="D31" s="186" t="s">
        <v>177</v>
      </c>
      <c r="E31" s="186" t="s">
        <v>166</v>
      </c>
      <c r="F31" s="185" t="s">
        <v>174</v>
      </c>
      <c r="G31" s="187" t="n">
        <f aca="false">G15</f>
        <v>1.49</v>
      </c>
      <c r="H31" s="185" t="s">
        <v>175</v>
      </c>
      <c r="I31" s="187" t="n">
        <f aca="false">G31*H31</f>
        <v>1.49</v>
      </c>
    </row>
    <row r="32" customFormat="false" ht="42" hidden="false" customHeight="true" outlineLevel="0" collapsed="false">
      <c r="B32" s="185" t="s">
        <v>171</v>
      </c>
      <c r="C32" s="185" t="s">
        <v>178</v>
      </c>
      <c r="D32" s="186" t="s">
        <v>179</v>
      </c>
      <c r="E32" s="186" t="s">
        <v>166</v>
      </c>
      <c r="F32" s="185" t="s">
        <v>174</v>
      </c>
      <c r="G32" s="187" t="n">
        <f aca="false">G16</f>
        <v>0.6</v>
      </c>
      <c r="H32" s="185" t="s">
        <v>175</v>
      </c>
      <c r="I32" s="187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89" width="5.2"/>
    <col collapsed="false" customWidth="true" hidden="false" outlineLevel="0" max="2" min="2" style="189" width="34.96"/>
    <col collapsed="false" customWidth="true" hidden="false" outlineLevel="0" max="3" min="3" style="189" width="28.85"/>
    <col collapsed="false" customWidth="true" hidden="false" outlineLevel="0" max="4" min="4" style="189" width="15.6"/>
    <col collapsed="false" customWidth="true" hidden="false" outlineLevel="0" max="5" min="5" style="189" width="7.79"/>
    <col collapsed="false" customWidth="false" hidden="false" outlineLevel="0" max="6" min="6" style="189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90" t="s">
        <v>187</v>
      </c>
    </row>
    <row r="3" customFormat="false" ht="15" hidden="false" customHeight="true" outlineLevel="0" collapsed="false">
      <c r="B3" s="191" t="s">
        <v>188</v>
      </c>
      <c r="C3" s="190" t="s">
        <v>189</v>
      </c>
    </row>
    <row r="4" customFormat="false" ht="15" hidden="false" customHeight="true" outlineLevel="0" collapsed="false">
      <c r="B4" s="191" t="s">
        <v>190</v>
      </c>
      <c r="C4" s="192" t="s">
        <v>191</v>
      </c>
    </row>
    <row r="5" customFormat="false" ht="15" hidden="false" customHeight="true" outlineLevel="0" collapsed="false">
      <c r="B5" s="191" t="s">
        <v>192</v>
      </c>
      <c r="C5" s="192" t="n">
        <v>45200</v>
      </c>
    </row>
    <row r="6" customFormat="false" ht="15" hidden="false" customHeight="true" outlineLevel="0" collapsed="false">
      <c r="B6" s="191" t="s">
        <v>193</v>
      </c>
      <c r="C6" s="193" t="n">
        <v>56.25</v>
      </c>
    </row>
    <row r="7" customFormat="false" ht="13.8" hidden="false" customHeight="false" outlineLevel="0" collapsed="false">
      <c r="B7" s="194"/>
      <c r="C7" s="195"/>
    </row>
    <row r="8" customFormat="false" ht="27.75" hidden="false" customHeight="true" outlineLevel="0" collapsed="false">
      <c r="B8" s="196" t="s">
        <v>194</v>
      </c>
      <c r="C8" s="197" t="s">
        <v>195</v>
      </c>
    </row>
    <row r="9" customFormat="false" ht="15" hidden="false" customHeight="true" outlineLevel="0" collapsed="false">
      <c r="B9" s="191" t="s">
        <v>196</v>
      </c>
      <c r="C9" s="198" t="n">
        <v>0.8549</v>
      </c>
    </row>
    <row r="10" customFormat="false" ht="15" hidden="false" customHeight="true" outlineLevel="0" collapsed="false">
      <c r="B10" s="191" t="s">
        <v>197</v>
      </c>
      <c r="C10" s="198" t="n">
        <v>1.1547</v>
      </c>
    </row>
    <row r="11" customFormat="false" ht="13.5" hidden="false" customHeight="true" outlineLevel="0" collapsed="false">
      <c r="B11" s="194"/>
      <c r="C11" s="194"/>
    </row>
    <row r="12" customFormat="false" ht="15" hidden="false" customHeight="true" outlineLevel="0" collapsed="false">
      <c r="B12" s="199" t="s">
        <v>198</v>
      </c>
      <c r="C12" s="200"/>
    </row>
    <row r="13" customFormat="false" ht="15" hidden="false" customHeight="true" outlineLevel="0" collapsed="false">
      <c r="B13" s="191" t="s">
        <v>199</v>
      </c>
      <c r="C13" s="201" t="n">
        <f aca="false">C6*(1+C9)</f>
        <v>104.338125</v>
      </c>
      <c r="D13" s="202"/>
      <c r="F13" s="203"/>
    </row>
    <row r="14" customFormat="false" ht="15" hidden="false" customHeight="true" outlineLevel="0" collapsed="false">
      <c r="B14" s="191" t="s">
        <v>200</v>
      </c>
      <c r="C14" s="201" t="n">
        <f aca="false">C6*(1+C10)</f>
        <v>121.201875</v>
      </c>
      <c r="D14" s="202"/>
      <c r="F14" s="203"/>
    </row>
    <row r="16" customFormat="false" ht="32.25" hidden="false" customHeight="true" outlineLevel="0" collapsed="false">
      <c r="B16" s="204" t="s">
        <v>201</v>
      </c>
      <c r="C16" s="204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9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7CA4A0-55CB-4FA3-B9C4-B8E1D144D591}"/>
</file>

<file path=customXml/itemProps2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EE1BE7-826B-4621-9ED3-4701CE39B331}">
  <ds:schemaRefs>
    <ds:schemaRef ds:uri="http://schemas.microsoft.com/office/2006/documentManagement/types"/>
    <ds:schemaRef ds:uri="http://purl.org/dc/dcmitype/"/>
    <ds:schemaRef ds:uri="132d983b-bc52-4905-b3a2-4655d790e7be"/>
    <ds:schemaRef ds:uri="http://purl.org/dc/terms/"/>
    <ds:schemaRef ds:uri="706c7f7c-e32b-4162-b9b5-46b4313c91a4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21DD267-AD5A-4F2B-B21F-C0BECBA185B8}"/>
</file>

<file path=customXml/itemProps5.xml><?xml version="1.0" encoding="utf-8"?>
<ds:datastoreItem xmlns:ds="http://schemas.openxmlformats.org/officeDocument/2006/customXml" ds:itemID="{2951E0A8-0F41-4947-9E93-C0CC7E8B0804}"/>
</file>

<file path=customXml/itemProps6.xml><?xml version="1.0" encoding="utf-8"?>
<ds:datastoreItem xmlns:ds="http://schemas.openxmlformats.org/officeDocument/2006/customXml" ds:itemID="{45249AA8-4D7D-47C7-BFB9-E7E6F2E76E94}"/>
</file>

<file path=customXml/itemProps7.xml><?xml version="1.0" encoding="utf-8"?>
<ds:datastoreItem xmlns:ds="http://schemas.openxmlformats.org/officeDocument/2006/customXml" ds:itemID="{9628C38D-4249-4EA6-B6B7-FAC35443D77D}"/>
</file>

<file path=customXml/itemProps8.xml><?xml version="1.0" encoding="utf-8"?>
<ds:datastoreItem xmlns:ds="http://schemas.openxmlformats.org/officeDocument/2006/customXml" ds:itemID="{A9C737BA-E953-4C98-A7FB-E843BAFA7D70}"/>
</file>

<file path=customXml/itemProps9.xml><?xml version="1.0" encoding="utf-8"?>
<ds:datastoreItem xmlns:ds="http://schemas.openxmlformats.org/officeDocument/2006/customXml" ds:itemID="{CF0545BF-A168-499F-A00F-81AD4227CE9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41</cp:revision>
  <dcterms:created xsi:type="dcterms:W3CDTF">2022-02-01T12:05:24Z</dcterms:created>
  <dcterms:modified xsi:type="dcterms:W3CDTF">2023-12-07T09:49:41Z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